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2"/>
  </bookViews>
  <sheets>
    <sheet name="6020" sheetId="1" r:id="rId1"/>
    <sheet name="6060" sheetId="2" r:id="rId2"/>
    <sheet name="6650" sheetId="3" r:id="rId3"/>
  </sheets>
  <definedNames>
    <definedName name="_xlnm.Print_Area" localSheetId="1">'6060'!$A$1:$Z$693</definedName>
  </definedNames>
  <calcPr fullCalcOnLoad="1"/>
</workbook>
</file>

<file path=xl/comments2.xml><?xml version="1.0" encoding="utf-8"?>
<comments xmlns="http://schemas.openxmlformats.org/spreadsheetml/2006/main">
  <authors>
    <author>S_Smal</author>
    <author>Customer</author>
  </authors>
  <commentList>
    <comment ref="D606" authorId="0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робочий проект 28,0 тис.грн.</t>
        </r>
      </text>
    </comment>
    <comment ref="AB212" authorId="1">
      <text>
        <r>
          <rPr>
            <b/>
            <sz val="9"/>
            <rFont val="Tahoma"/>
            <family val="2"/>
          </rPr>
          <t>Customer: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  <author>S_Smal</author>
  </authors>
  <commentList>
    <comment ref="Q5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з суми 363 тис.грн. - 
45 тис.грн. на садів товариства в квітні 
10268=5800-кр Прив пл
300 сад товариства</t>
        </r>
      </text>
    </comment>
    <comment ref="Q53" authorId="1">
      <text>
        <r>
          <rPr>
            <b/>
            <sz val="9"/>
            <rFont val="Tahoma"/>
            <family val="2"/>
          </rPr>
          <t>S_Smal:</t>
        </r>
        <r>
          <rPr>
            <sz val="9"/>
            <rFont val="Tahoma"/>
            <family val="2"/>
          </rPr>
          <t xml:space="preserve">
3200 кап рем мосту через р. ПБ</t>
        </r>
      </text>
    </comment>
  </commentList>
</comments>
</file>

<file path=xl/sharedStrings.xml><?xml version="1.0" encoding="utf-8"?>
<sst xmlns="http://schemas.openxmlformats.org/spreadsheetml/2006/main" count="2411" uniqueCount="806">
  <si>
    <r>
      <t xml:space="preserve">Завдання 1. </t>
    </r>
    <r>
      <rPr>
        <sz val="12"/>
        <rFont val="Times New Roman"/>
        <family val="1"/>
      </rPr>
      <t>Забезпечення проведення поточного ремонту об'єктів транспортної інфраструктури</t>
    </r>
  </si>
  <si>
    <r>
      <t xml:space="preserve">Завдання 2. </t>
    </r>
    <r>
      <rPr>
        <sz val="12"/>
        <rFont val="Times New Roman"/>
        <family val="1"/>
      </rPr>
      <t>Забезпечення проведення капітального ремонту об'єктів транспортної інфраструктури</t>
    </r>
  </si>
  <si>
    <r>
      <t xml:space="preserve">Завдання 3. </t>
    </r>
    <r>
      <rPr>
        <sz val="12"/>
        <rFont val="Times New Roman"/>
        <family val="1"/>
      </rPr>
      <t>Забезпечення утримання об'єктів транспортної інфраструктури</t>
    </r>
  </si>
  <si>
    <t>Підпрограма 1. Капітальний ремонт житлового фонду</t>
  </si>
  <si>
    <t>Підпрограма 2. Капітальний ремонт житлового фонду об'єднань співвласників багатоквартирних будинків</t>
  </si>
  <si>
    <t xml:space="preserve">демонтаж і монтаж газового розведення в житловому будинку </t>
  </si>
  <si>
    <t>розроблення матеріалів про надання дозволу на розробку проектів землеустрою та розроблення проектів землеустрою щодо відведення земельної ділянки в                   м. Хмельницькому</t>
  </si>
  <si>
    <t>звернення ініціативної групи</t>
  </si>
  <si>
    <t>протяжність дощової каналізації, що необхідно очистити</t>
  </si>
  <si>
    <t>протяжність дощової каналізації, що планується очистити</t>
  </si>
  <si>
    <t>середні витрати на 1 м очищення дощової каналізації</t>
  </si>
  <si>
    <t>питома вага протяжності дощової каналізації, що планується очистити до протяжності дощової каналізації, що необхідно очистити</t>
  </si>
  <si>
    <t>поточний ремонт щебневого покриття доріжок на кладовищі Ракове</t>
  </si>
  <si>
    <t>питома вага кількості робочі проектів на капітальний ремонт - улаштування закритих водостоків, які планується виготовити до кількості робочих проектів які необхідно виготовити</t>
  </si>
  <si>
    <t>капітальний ремонт тротуару по вул. Курчатова</t>
  </si>
  <si>
    <t>площа тротуару по вул. Курчатова, яку необхідно відремонтувати</t>
  </si>
  <si>
    <t>площа тротуару по вул. Курчатова, яку планується відремонтувати</t>
  </si>
  <si>
    <t>середні витрати на капітальний ремонт 1 кв. м тротуару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</si>
  <si>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</si>
  <si>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акт виконаних робіт</t>
  </si>
  <si>
    <t>кількість ПКД, яку необхідно виготовити</t>
  </si>
  <si>
    <t>кількість ПКД, яку планується виготовити</t>
  </si>
  <si>
    <t>середні витрати на виготовлення 1 ПКД</t>
  </si>
  <si>
    <t>питома вага кількості ПКД, яку планується виготовити до кількості, яку необхідно виготовити</t>
  </si>
  <si>
    <t>середня вартість поточного ремонту 1 кв. м доріжок на кладовищі Ракове</t>
  </si>
  <si>
    <t>кількість робочих проектів на капітальний ремонт пішохідних доріжок (облаштування паркового майданчика), які планується розробити</t>
  </si>
  <si>
    <t>кількість робочих проектів на капітальний ремонт пішохідних доріжок (облаштування паркового майданчика), які необхідно розробити</t>
  </si>
  <si>
    <t>кількість  колодязів, які планується  відремонтувати</t>
  </si>
  <si>
    <t>середня вартість виправлення пошкоджених водоприймальних колодязів</t>
  </si>
  <si>
    <t>передпроектні пропозиції щодо виготовлення проектно-кошторисної документації на проведення робіт капітального ремонту території загального користування зеленої зони (в районі набережної річки Південний Буг між вул. Камянецькою та провулком Човновим)</t>
  </si>
  <si>
    <t>питома вага кількості робочих проектів на капітальний ремонт доріг та тротуарів, що планується розробити до кількості  робочих проектів, що необхідно розробити</t>
  </si>
  <si>
    <t>по факту</t>
  </si>
  <si>
    <t>питома вага площі тротуарних доріжок в парках і скверах, які  планується ремонтувати до кількості, що планується відремонтувати</t>
  </si>
  <si>
    <t>темп зростання середньої вартості усунення напливів і колій на проїзній частині дороги з а/бетонним покриттям   в порівнянні з попереднім роком</t>
  </si>
  <si>
    <t>темп зменшення середньої вартості очищення, часткового, повного фарбування транспортної та перильної огорожі в порівнянні з попереднім роком</t>
  </si>
  <si>
    <t>темп зростання  середньої вартості утримання пішохідної огорожі, ремонту та заміни пошкоджених секцій огорожі  в порівнянні з попереднім роком</t>
  </si>
  <si>
    <t xml:space="preserve">площа паркану, що планується улаштувати </t>
  </si>
  <si>
    <t xml:space="preserve">площа щебневого покриття доріжок на кладовищі Ракове, що планується відремонтувати </t>
  </si>
  <si>
    <t>відсоток кількості табличок, що планується замінити до кількості табличок, які необхідно замінити</t>
  </si>
  <si>
    <t>темп зростання витрат на охорону ялинок порівняно з попереднім періодом</t>
  </si>
  <si>
    <t>кількість насосних станцій, що планується утримувати</t>
  </si>
  <si>
    <t>темп зростання витрат на утримання дренажних станцій порівняно з попереднім періодом</t>
  </si>
  <si>
    <t>11.</t>
  </si>
  <si>
    <t xml:space="preserve">ЗАТВЕРДЖЕНО </t>
  </si>
  <si>
    <t>управління житлово-комунального господарства Хмельницької міської ради</t>
  </si>
  <si>
    <t>робочий проект на капітальний ремонт – улаштування майданчика для стоянки автомобілів по проспекту Миру, 61/1</t>
  </si>
  <si>
    <t>кількість робочих проектів, що планується розробити</t>
  </si>
  <si>
    <t xml:space="preserve">капітальний ремонт - розчищення водовідвідних каналів по вул. Заводській, 165 (звіт з інженерно-геодезичних вишукувань)
</t>
  </si>
  <si>
    <t xml:space="preserve">Конституція України, Бюджетний кодекс України, Закон України "Про Державний бюджет України на 2017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Наказ Міністерства фінансів України від 26.08.2014 року № 836 "Правила складання паспортів бюджетних програм місцевих бюджетів </t>
  </si>
  <si>
    <t>поточний ремонт сходів в районі буд. № 32/1 по вул. Зарічанській</t>
  </si>
  <si>
    <t>локальний кошторис</t>
  </si>
  <si>
    <t>поточний ремонт пам'ятника Героям Чорнобиля у м. Хмельницькому</t>
  </si>
  <si>
    <t>капітальний ремонт систем диспетчеризації ліфтів (в т.ч. виготовлення проектно-кошторисної документації)</t>
  </si>
  <si>
    <t>Конституція України, Бюджетний кодекс України, Закон України "Про Державний бюджет України на 2017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Наказ Міністерства фінансів України від 26.08.2014 року № 836</t>
  </si>
  <si>
    <t xml:space="preserve">кількість систем диспетчеризації ліфтів, в яких необхідно провести капітальний ремонт (в т.ч. проектно-кошторисна документація на капітальний ремонт систем диспетчеризації ліфтів, яку необхідно виготовити) </t>
  </si>
  <si>
    <t>питома вага кількості  систем диспетчеризації ліфтів, що планується відремонтувати до кількості, що потребує ремонту</t>
  </si>
  <si>
    <t>поточний ремонт малих архітектурних форм (скульптурних композицій автора       М. Мазура)</t>
  </si>
  <si>
    <t xml:space="preserve">кількість малих архітектурних форм, які планується відремонтувати </t>
  </si>
  <si>
    <t xml:space="preserve">кількість малих архітектурних форм, які необхідно відремонтувати </t>
  </si>
  <si>
    <t>середні витрати на ремонт 1 МАФ (скульптурних форм)</t>
  </si>
  <si>
    <t>питома вага кількості скульптурних форм, які планується відремонтувати до кількості, які необхідно відремонтувати</t>
  </si>
  <si>
    <t>поточний ремонт зелених насаджень - видалення окремих засохлих та пошкоджених дерев</t>
  </si>
  <si>
    <t>коригування кошторисної частини робочого проекту на капітальний ремонт зеленої зони на перехресті вулиць Кам’янецької та Гагаріна (в районі обласної філармонії) (в т.ч. експертиза кошторисної частини проекта)</t>
  </si>
  <si>
    <t>кількість квіткових рослин, що потрібно висадити</t>
  </si>
  <si>
    <t>кількість квіткових рослин, що планується висадити</t>
  </si>
  <si>
    <t xml:space="preserve">середні витрати на висаджування 1 квіткової рослини </t>
  </si>
  <si>
    <t>Капітальний ремонт житлового фонду об'єднань співвласників багатоквартирних будинків</t>
  </si>
  <si>
    <r>
      <t xml:space="preserve">Підпрограма 1 </t>
    </r>
    <r>
      <rPr>
        <b/>
        <i/>
        <sz val="12"/>
        <rFont val="Times New Roman"/>
        <family val="1"/>
      </rPr>
      <t xml:space="preserve">Капітальний ремонт житлового фонду </t>
    </r>
  </si>
  <si>
    <r>
      <t xml:space="preserve">Підпрограма 2 </t>
    </r>
    <r>
      <rPr>
        <b/>
        <i/>
        <sz val="12"/>
        <rFont val="Times New Roman"/>
        <family val="1"/>
      </rPr>
      <t>Капітальний ремонт житлового фонду об'єднань співвласників багатоквартирних будинків</t>
    </r>
  </si>
  <si>
    <t>капітальний ремонт електричних мереж в гуртожитках</t>
  </si>
  <si>
    <t>укріплення машинних приміщень ліфтів</t>
  </si>
  <si>
    <t>капітальний ремонт нежитлового приміщення в житловому будинку по вул. Кам'янецькій</t>
  </si>
  <si>
    <t>середні витрати на капітальний ремонт 1 системи диспетчеризації ліфтів (в т.ч. виготовлення ПКД)</t>
  </si>
  <si>
    <t xml:space="preserve">кількість ліфтів, в яких необхідно здійснити укріплення машинних приміщень </t>
  </si>
  <si>
    <t>кількість гуртожитків, які потребують капітального ремонту електричних мереж</t>
  </si>
  <si>
    <t xml:space="preserve">капітальний ремонт нежитлового приміщення </t>
  </si>
  <si>
    <t>середні витрати на капітальний ремонт електричних мереж в 1 гуртожитку</t>
  </si>
  <si>
    <t xml:space="preserve">витрати на капітальний ремонт нежитлового приміщення </t>
  </si>
  <si>
    <t>кількість об'єктів житлового фонду (будинків), що потребують   ремонту</t>
  </si>
  <si>
    <t>кількість об'єктів житлового фонду (будинків), що планується відремонтувати</t>
  </si>
  <si>
    <t>Завдання 1 Проведення капітального ремонту житлового фонду об'єднань співвласників багатоквартирних будинків (ОСББ)</t>
  </si>
  <si>
    <t>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</t>
  </si>
  <si>
    <t>вартість капітального ремонту одного об'єкта житлового фонду (будинку)</t>
  </si>
  <si>
    <t xml:space="preserve">капітальний ремонт укріплення козирків натяжними металевими зв’язками в житловому будинку та аварійних сходів біля будинку </t>
  </si>
  <si>
    <t>розробка робочого проекту на капітальний ремонт облаштування паркового майданчику в парку культури і відпочинку ім. М. Чекмана та проведення його експертизи</t>
  </si>
  <si>
    <t xml:space="preserve">капітальний ремонт інфраструктури доріг </t>
  </si>
  <si>
    <t>кількість будинків, в яких необхідно здійснити капітальний ремонт</t>
  </si>
  <si>
    <t>кількість будинків, в яких планується здійснити капітальний ремонт</t>
  </si>
  <si>
    <t>середні витрати на  капітальний ремонт 1 будинку</t>
  </si>
  <si>
    <t xml:space="preserve">вартість капітального ремонту підпірної стінки </t>
  </si>
  <si>
    <t>площа прибережних смуг водойм міста, яку необхідно утримувати</t>
  </si>
  <si>
    <t>загальна площа прибережних смуг водойм міста, яку планується утримувати</t>
  </si>
  <si>
    <t>площа борщівника Сосновського, що планується викосити</t>
  </si>
  <si>
    <t>кількість табличок, які планується замінити на Військовому кладовищі</t>
  </si>
  <si>
    <t>кількість світлоточок, які планується замінити в зв'язку з виходом із ладу</t>
  </si>
  <si>
    <t>кількість світлоточок, які знаходяться на утриманні та потребують поточного ремонту</t>
  </si>
  <si>
    <t xml:space="preserve">відсоток кількості світлоточок, які планується відремонтувати до загальної кількості світлоточок, що потребують капітального ремонту </t>
  </si>
  <si>
    <t>Завдання 3 Проведення поточного / капітального ремонту електричних мереж</t>
  </si>
  <si>
    <t>Завдання 2 Забезпечення благоустрою кладовищ</t>
  </si>
  <si>
    <t>Завдання 1 Збереження та утримання на належному рівні зеленої зони населеного пункту та поліпшення його екологічних умов</t>
  </si>
  <si>
    <t>середні витрати на видаленя 1 дерева</t>
  </si>
  <si>
    <t>питома вага дерев, що планується видалити до тих, що потребують видаленню</t>
  </si>
  <si>
    <t>питома вага дерев, що планується омолодити до тих, що потребують омолодження</t>
  </si>
  <si>
    <t>кількість дерев, що планується видалити</t>
  </si>
  <si>
    <t>кількість дерев, що потрібно видалити</t>
  </si>
  <si>
    <t>кількість дерев, які потрібно омолодити</t>
  </si>
  <si>
    <t>кількість об’єктів транспортної інфраструктури, які необхідно утримувати:</t>
  </si>
  <si>
    <t>кількість зупинок, які планується улаштувати</t>
  </si>
  <si>
    <t>кількість об'єктів, що потребують ремонту</t>
  </si>
  <si>
    <t>Програма утримання та розвитку житлово-комунального господарства та благоустрою м.Хмельницького на 2017-2020 роки</t>
  </si>
  <si>
    <t>кількість об'єктів, що планується відремонтувати</t>
  </si>
  <si>
    <r>
      <t>Прогноз видатків до кінця реалізації проекту</t>
    </r>
    <r>
      <rPr>
        <vertAlign val="superscript"/>
        <sz val="12"/>
        <rFont val="Times New Roman"/>
        <family val="1"/>
      </rPr>
      <t>3</t>
    </r>
  </si>
  <si>
    <r>
      <t>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</si>
  <si>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r>
      <t>(КФКВК)</t>
    </r>
    <r>
      <rPr>
        <vertAlign val="superscript"/>
        <sz val="12"/>
        <rFont val="Times New Roman"/>
        <family val="1"/>
      </rPr>
      <t>1</t>
    </r>
  </si>
  <si>
    <t>Капітальний ремонт житлового фонду</t>
  </si>
  <si>
    <t>тис.кв.м</t>
  </si>
  <si>
    <t>тис. кв.м</t>
  </si>
  <si>
    <t>виготовлення матеріалів на надання дозволів на розробку проектів землеустрою та на проведення робіт по виготовленню проектів землеустрою щодо водовідведенння земельних ділянок під пам'ятники на кладовищах міста Хмельницького</t>
  </si>
  <si>
    <t>середні витрати на складання 1 кошторису на розробку проекту землеустрою</t>
  </si>
  <si>
    <t>кількість проектів на проведення робіт по виготовленню матеріалів на надання дозволу на розробку проекту землеустрою, які планується виготовити</t>
  </si>
  <si>
    <t>відсоток кількості проектів, що планується розробити до кількості проектів, які необхідно розробити</t>
  </si>
  <si>
    <t>технічне переоснащення мереж зовнішнього освітлення по вулицях Бандери, П. Мирного, пр. Миру, Шевченко, Трудова, Купріна, Кам’янецька, Вінницька, Тернопільська, Львівське шосе, Інститутська, Проскурівського підпілля, Прибузька, Проектна, Грушевського, Курчатова міста Хмельницького</t>
  </si>
  <si>
    <t>влаштування освітлення в'їзних стел м. Хмельницького</t>
  </si>
  <si>
    <t>кількість в`їзних стел, які необхідно влаштувати</t>
  </si>
  <si>
    <t>кількість в`їзних стел, які планується влаштувати</t>
  </si>
  <si>
    <t>кількість об'єктів мереж зовнішнього освітлення (завершення робіт, розпочатих в 2015-2016 рр.), по яких необхідно провести технічне переоснащення</t>
  </si>
  <si>
    <t>кількість об'єктів мереж зовнішнього освітлення, по яких планується провести технічне переоснащення</t>
  </si>
  <si>
    <t>середні витрати на технічне переоснащення 1 об'єкту мереж зовнішнього освітлення</t>
  </si>
  <si>
    <t>середні витрати на влаштування 1 в`їзної стели (в т.ч. виготовлення проектно-кошторисної документації)</t>
  </si>
  <si>
    <t>капітальний ремонт - влаштування пішохідної доріжки в парку культури і відпочинку ім. М. Чекмана (від вул. Олімпійської до містка в районі комплексу Спартак) ПКД</t>
  </si>
  <si>
    <t>капітальний ремонт- улаштування пішохідної та велосипедної доріжок в парку культури і відпочинку ім. М. Чекмана</t>
  </si>
  <si>
    <t>капітальний ремонт мереж зовнішнього освітлення в районі будинків №47,№43,№43/1 по вулиці Львівське шосе</t>
  </si>
  <si>
    <t>кількість будинків, біля яких планується проведення капітального ремонту мереж зовнішнього освітлення</t>
  </si>
  <si>
    <t>середні витрати на проведення капітального ремонту мереж зовнішнього освітлення біля 1 будинку</t>
  </si>
  <si>
    <t>відновлення зовнішньої штукатурки з подальшим декоративним оздобленням фасадів будівель міста</t>
  </si>
  <si>
    <t>заміна групових та встановлення нових розподільних та запобіжних коробок та щитків в ж/б</t>
  </si>
  <si>
    <t>експертна оцінка технічного стану ліфтів</t>
  </si>
  <si>
    <t xml:space="preserve">капітальний ремонт покрівель </t>
  </si>
  <si>
    <t>заміна ушкоджених ділянок трубопроводів холодного та гарячого водопостачання, центрального опалення та водовідведення житлових будинків</t>
  </si>
  <si>
    <t>кількість об'єктів (будівель), на яких планується здійснити декоративне оздоблення фасаду</t>
  </si>
  <si>
    <t>середні витрати на декоративне оздоблення фасаду для 1 об'єкту</t>
  </si>
  <si>
    <t>укріплення стін натяжними металевими зв'язками в ж/б</t>
  </si>
  <si>
    <t>садіння нових дерев та кущів  (каркасні фігури - топіарі з рослинним заповненням)</t>
  </si>
  <si>
    <t>питома вага кількості каркасних фігур, яку планується встановити до кількості, яку необхідно встановити</t>
  </si>
  <si>
    <t>придбання та заміна світлодіодних ламп</t>
  </si>
  <si>
    <t>придбання та заміна кабелю СІП</t>
  </si>
  <si>
    <t>кількість ламп, що необхідно придбати та замінити</t>
  </si>
  <si>
    <t>протяжність кабелю СІП, який необхідно замінити</t>
  </si>
  <si>
    <t>кількість ламп, що планується придбати та замінити</t>
  </si>
  <si>
    <t>протяжність кабелю СІП, який планується замінити</t>
  </si>
  <si>
    <t>середні витрати на придбання та заміну 1 світлодіодної лампи</t>
  </si>
  <si>
    <t>середні витрати на заміну 1 км кабелю СІП</t>
  </si>
  <si>
    <t>питома вага кількості ламп, що планується придбати та замінити до кількості, що необхідно придбати та замінити</t>
  </si>
  <si>
    <t>питома вага протяжності кабелю СІП, що планується замінити до протяжності кабелю СІП, що необхідно замінити</t>
  </si>
  <si>
    <t>робочий проект на капітальний ремонт - улаштування закритих водостоків у Південно-Західному мікрорайоні (між вул. Молодіжною та вул. Львівське шосе)</t>
  </si>
  <si>
    <t>робочий проект на капітальний ремонт - улаштування закритих водостоків по вул. Тернопільській (в районі буд. 44)</t>
  </si>
  <si>
    <t>передпроектні пропозиції щодо улаштування закритих водостоків по вул. Зарічанській</t>
  </si>
  <si>
    <t>об'єм поверхневих стічних вод, що необхідно очистити</t>
  </si>
  <si>
    <t>середні витрати на 1 куб. м площі очищення стічних вод</t>
  </si>
  <si>
    <t xml:space="preserve">площа територій, що підлягає прибиранню </t>
  </si>
  <si>
    <t xml:space="preserve">обсяг видатків </t>
  </si>
  <si>
    <t xml:space="preserve">площа територій, що планується прибирати </t>
  </si>
  <si>
    <t>середні витрати на прибирання 1 кв. м територій</t>
  </si>
  <si>
    <t>питома вага площі територій, що планується прибирати до кількості, що підлягає прибиранню</t>
  </si>
  <si>
    <t xml:space="preserve">Завдання 13 Проведення капітального ремонту об'єктів транспортної інфраструктури </t>
  </si>
  <si>
    <t>капітальний ремонт - улаштування нових та розширення існуючих велосипедних доріжок на набережній від вул. Кам’янецької до вул. Староміської</t>
  </si>
  <si>
    <t>площа велосипедних доріжок на набережній, яку необхідно улаштувати та розширити</t>
  </si>
  <si>
    <t>площа пішохідних доріжок, яку необхідно улаштувати від вул. Олімпійської до оглядового колесу в парку ім. М. Чекмана</t>
  </si>
  <si>
    <t>площа пішохідних доріжок, яку планується улаштувати від вул. Олімпійської до оглядового колесу в парку ім. М. Чекмана</t>
  </si>
  <si>
    <t>площа велосипедних доріжок на набережній, яку планується улаштувати та розширити</t>
  </si>
  <si>
    <t xml:space="preserve">середні витрати на улаштування 1 кв. м пішохідних доріжок від вул. Олімпійської до оглядового колесу в парку ім. М. Чекмана </t>
  </si>
  <si>
    <t xml:space="preserve">середні витрати улаштування 1 кв. м велосипедних доріжок на набережній </t>
  </si>
  <si>
    <t>Завдання 14 Проведення капітального ремонту об'єктів благоустрою</t>
  </si>
  <si>
    <t>капітальний ремонт - установлення нового навісу на зупинці "Привокзальна площа" (рух з міста) по вул. Шевченка" в м. Хмельницькому</t>
  </si>
  <si>
    <t>капітальний ремонт стели "Меморіал Слави" по проспекту Миру</t>
  </si>
  <si>
    <t>капітальний ремонт фонтану в парку культури та відпочинку ім. М. Чекмана</t>
  </si>
  <si>
    <t>капітальний ремонт набережної р. Плоскої (від р. Південний Буг до пішохідного містка центрального входу в парк культури та відпочинку ім.  М. Чекмана</t>
  </si>
  <si>
    <t>кількість робочих проектів на капітальний ремонт доріг та тротуарів, що планується розробити</t>
  </si>
  <si>
    <t>середні витрати на розробку 1 робочого проекту</t>
  </si>
  <si>
    <t>демонтаж незаконно встановлених малих архітектурних форм, зовнішньої реклами та білбордів</t>
  </si>
  <si>
    <t xml:space="preserve">кількість малих архітектурних форм, білбордів, які необхідно демонтувати </t>
  </si>
  <si>
    <t xml:space="preserve">кількість малих архітектурних форм, білбордів, які планується демонтувати </t>
  </si>
  <si>
    <t>кількість проектів на проведення робіт по виготовленню матеріалів на надання дозволу на розробку проекту землеустрою, які необхідно розити</t>
  </si>
  <si>
    <t xml:space="preserve">кількість робочих проектів на капітальний ремонт - улаштування закритих водостоків, які необхідно виготовити </t>
  </si>
  <si>
    <t xml:space="preserve">кількість робочих проектів на капітальний ремонт - улаштування закритих водостоків, які планується виготовити </t>
  </si>
  <si>
    <t>об'єм поверхневих стічних вод, що планується очистити</t>
  </si>
  <si>
    <t xml:space="preserve">витрати на розчистку водовідвідних каналів в заплаві річки Південний Буг </t>
  </si>
  <si>
    <t>капітальний ремонт - влаштування велосипедної доріжки в парку культури і відпочинку ім. М. Чекмана (від вул. Олімпійської до містка в районі комплексу Спартак)</t>
  </si>
  <si>
    <t>капітальний ремонт - пішохідної доріжки від вул. Олімпійської до оглядового колесу в парку культури і відпочинку ім. М. Чекмана в. м Хмельницькому</t>
  </si>
  <si>
    <t xml:space="preserve">кв.м </t>
  </si>
  <si>
    <t>вартість розробки 1 робочого проекту</t>
  </si>
  <si>
    <t>темп зростання  середньої вартості заготівлі в порівнянні з попереднім роком</t>
  </si>
  <si>
    <t xml:space="preserve">середні витрати на демонтаж  1 МАФ </t>
  </si>
  <si>
    <t>кількість об'єктів (будівель), на яких необхідно здійснити декоративне оздоблення фасаду</t>
  </si>
  <si>
    <t xml:space="preserve">кількість будинків, в яких необхідно здійснити укріплення козирків  натяжними металевими зв'язками та  капітальний ремонт сходів  </t>
  </si>
  <si>
    <t xml:space="preserve">кількість будинків, в яких планується здійснити укріплення козирків  натяжними металевими зв'язками капітальний ремонт сходів   </t>
  </si>
  <si>
    <t>середні витрати на  капітальний ремонт аварійних сходів та укріплення козирків натяжними металевими зв'язками в 1 будинку</t>
  </si>
  <si>
    <t>питома вага кількості малих архітектурних форм, які планується демонтувати до кількості, які необхідно демонтувати</t>
  </si>
  <si>
    <t>Завдання 1. Забезпечення проведення поточного ремонту об'єктів транспортної інфраструктури</t>
  </si>
  <si>
    <t>Завдання 2. Забезпечення проведення капітального ремонту об'єктів транспортної інфраструктури</t>
  </si>
  <si>
    <t>Завдання 3. Забезпечення утримання об'єктів транспортної інфраструктури</t>
  </si>
  <si>
    <t>площа велосипедних доріжок, які планується улаштувати в парку ім. М. Чекмана</t>
  </si>
  <si>
    <t>площа велосипедних доріжок, які потрібно улаштувати в парку ім. М. Чекмана (від вул. Олімпійської до містка в районі комплексу Спартак)</t>
  </si>
  <si>
    <t xml:space="preserve">середні витрати капітального ремонту 1 кв. м   пішохідних та велосипедних доріжок в парку ім. М. Чекмана </t>
  </si>
  <si>
    <t>середні витрати капітального ремонту 1 п. м велосипедних доріжок в парку ім. М. Чекмана (від вул. Олімпійської до містка в районі комплексу Спартак)</t>
  </si>
  <si>
    <t>витрати навиготовлення ПКД на капітальний ремонт пішохідної доріжки в парку ім. М. Чекмана</t>
  </si>
  <si>
    <t>середні витрати на встановлення 1 відеокамери</t>
  </si>
  <si>
    <t>технічний звіт</t>
  </si>
  <si>
    <t>проектно-кошторисна документація</t>
  </si>
  <si>
    <t>дефектний акт</t>
  </si>
  <si>
    <t>експертний звіт</t>
  </si>
  <si>
    <t>акт обстеження весняного огляду</t>
  </si>
  <si>
    <t>приписи РЕМ</t>
  </si>
  <si>
    <t xml:space="preserve">кількість систем диспетчеризації ліфтів, в яких планується провести капітальний ремонт (в т.ч. проектно-кошторисна документація на капітальний ремонт систем диспетчеризації ліфтів, яку необхідно виготовити) </t>
  </si>
  <si>
    <t>рішення виконавчого комітету</t>
  </si>
  <si>
    <t>витрати на укріплення машинного приміщення 1 ліфта</t>
  </si>
  <si>
    <t>кількість гуртожитків, в яких планується капітальний ремонт електричних мереж</t>
  </si>
  <si>
    <t>кошторисний розрахунок</t>
  </si>
  <si>
    <t>кількість проектів землеустрою, які необхідно розробити</t>
  </si>
  <si>
    <t>кількість проектів землеустрою, які планується розробити</t>
  </si>
  <si>
    <t>питома вага кількості проектно-кошторисної документації, яку планується виготовити до кількості, яку необхідно виготовити</t>
  </si>
  <si>
    <t>питома вага кількості проектів землеустрою, які планується розробити, до кількості, які необхідно розробити</t>
  </si>
  <si>
    <t>темп зростання  середньої вартості утримання очисних споруд в порівнянні з попереднім роком</t>
  </si>
  <si>
    <t>середні витрати на розробку 1 проекту землеустрою</t>
  </si>
  <si>
    <t xml:space="preserve">Підпрограма/завдання бюджетної програми </t>
  </si>
  <si>
    <t xml:space="preserve">Назва показника </t>
  </si>
  <si>
    <t>разом</t>
  </si>
  <si>
    <r>
      <t>1</t>
    </r>
    <r>
      <rPr>
        <sz val="11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</si>
  <si>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1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</si>
  <si>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1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</si>
  <si>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(ініціали та прізвище)</t>
  </si>
  <si>
    <t>Перелік регіональних цільових програм, які виконуються у складі бюджетної програми:</t>
  </si>
  <si>
    <t>Касові видатки станом на 01 січня звітного періоду</t>
  </si>
  <si>
    <t>Начальник фінансового управління</t>
  </si>
  <si>
    <t xml:space="preserve">середні витрати на споживання 1 кВт електроенергії </t>
  </si>
  <si>
    <t>послуги по санітарному очищенню і прибирання міста, які планується здійснювати</t>
  </si>
  <si>
    <t>середні витрати на утримання 1 га площі  прибережних смуг за рік</t>
  </si>
  <si>
    <t>середні витрати на утримання 1 кв. м території привокзальної площі за рік</t>
  </si>
  <si>
    <t>питома вага площі індивідуальних забудов, що планується відремонтувати до площі, що потребує ремонту</t>
  </si>
  <si>
    <t>середні витрати на поточний  ремонт  1 кв. м площі індивідуальних забудов</t>
  </si>
  <si>
    <t>питома вага площа асфальтового покриття прибудинкових територій, що планується відремонтувати до площі, що потребує відновлення</t>
  </si>
  <si>
    <t>питома вага площі пішохідних та велосипедних доріжок, що планується улаштувати до площі, що необхідно улаштувати</t>
  </si>
  <si>
    <t>Покращення стану інфраструктури автомобільних доріг</t>
  </si>
  <si>
    <t>кількість технічних засобів, які планується установити</t>
  </si>
  <si>
    <t xml:space="preserve">кількість будинків, в яких необхідно здійснити демонтаж і монтаж газового розведення </t>
  </si>
  <si>
    <t xml:space="preserve">кількість будинків, в яких планується здійснити демонтаж і монтаж газового розведення </t>
  </si>
  <si>
    <t>витрати на демонтаж і монтаж газового розведення в 1 будинку</t>
  </si>
  <si>
    <t>поточний ремонт розворотного кільця в парку культури і відпочинку ім. М. Чекмана</t>
  </si>
  <si>
    <t>кошторис/список сміттємайданчиків</t>
  </si>
  <si>
    <t>Завдання 12 Послуги з утримання територій загального користування</t>
  </si>
  <si>
    <t>робочий проект на капітальний ремонт - улаштування пішохідної доріжки на кладовищі по вул. Кам`янецькій в м. Хмельницькому, в тому числі експертиза</t>
  </si>
  <si>
    <t>проектно-кшторисна документація</t>
  </si>
  <si>
    <t xml:space="preserve">витяг з протоколу </t>
  </si>
  <si>
    <t xml:space="preserve">капітальний ремонт, заміна або підсилення несучих та захисних конструкцій балконів в  житлових будинках </t>
  </si>
  <si>
    <t>поточний ремонт території загального користування (облаштування паркану) біля будинку</t>
  </si>
  <si>
    <t>Завдання 1. Збереження та утримання на належному рівні зеленої зони населеного пункту та поліпшення його екологічних умов</t>
  </si>
  <si>
    <t>кількість будинків, в яких необхідно здійснити заміну або підсилення несучих та захисних конструкцій балконів</t>
  </si>
  <si>
    <t>кількість будинків, в яких планується здійснити заміну або підсилення несучих та захисних конструкцій балконів</t>
  </si>
  <si>
    <t>середні витрати на заміну або підсилення несучих та захисних конструкцій балконів в 1 будинку</t>
  </si>
  <si>
    <t>лист-звернення благодійного фонду</t>
  </si>
  <si>
    <t xml:space="preserve">середня вартість поточного ремонту 1 п. м площі лотків водовідведення </t>
  </si>
  <si>
    <t>середня вартість улаштування 1 п. м паркану</t>
  </si>
  <si>
    <t>Завдання 2. Забезпечення благоустрою кладовищ</t>
  </si>
  <si>
    <t>Завдання 3. Проведення поточного / капітального ремонту електричних мереж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</si>
  <si>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</si>
  <si>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</si>
  <si>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</si>
  <si>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</si>
  <si>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</si>
  <si>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Завдання 9. Забезпечення облаштування та утримання окремої території (парку, скверу тощо)</t>
  </si>
  <si>
    <t xml:space="preserve">Завдання 10. Проведення поточного ремонту об'єктів транспортної інфраструктури </t>
  </si>
  <si>
    <t>Завдання 11. Поточний ремонт прибудинкових територій</t>
  </si>
  <si>
    <t>Завдання 12. Послуги з утримання територій загального користування</t>
  </si>
  <si>
    <t xml:space="preserve">Завдання 13. Проведення капітального ремонту об'єктів транспортної інфраструктури </t>
  </si>
  <si>
    <t>Завдання 14. Проведення капітального ремонту об'єктів благоустрою</t>
  </si>
  <si>
    <t xml:space="preserve">Завдання 1. Проведення капітального ремонту житлових будинків </t>
  </si>
  <si>
    <t xml:space="preserve">Завдання 2. Капітальний ремонт спортивних і дитячих майданчиків </t>
  </si>
  <si>
    <t>Завдання 3. Капітальний ремонт прибудинкових територій</t>
  </si>
  <si>
    <t>Завдання 1. Проведення капітального ремонту житлового фонду об'єднань співвласників багатоквартирних будинків (ОСББ)</t>
  </si>
  <si>
    <t xml:space="preserve">питома вага кількості об'єктів мереж зовнішнього освітлення, що планується переоснастити до кількості, що необхідно переоснастити </t>
  </si>
  <si>
    <t>робочий проект на капітальний ремонт-улаштування закритих водостоків від вул. Мазура до вул. Підгірної, в т.ч. експертиза кошторисної частини</t>
  </si>
  <si>
    <t>капітальний ремонт-улаштування закритих водостоків від вул. Мазура до вул. Підгірної, в т.ч. експертиза кошторисної частини</t>
  </si>
  <si>
    <t>проектно-кошторисна документація, титульний список</t>
  </si>
  <si>
    <t>Конституція України, Бюджетний кодекс України, Закон України "Про Державний бюджет України на 2017 рік", Наказ Міністерства фінансів України від 26.08.2014 року № 836 „Про деякі питання запровадження програмно-цільового методу складання та виконання місцевих бюджетів”, Наказ Міністерства фінансів України від 26.08.2014 року № 836 "Правила складання паспортів бюджетних програм місцевих бюджетів та звітів про їх виконання (із змінами, внесеними згідно з Наказом Міністерства фінансів № 860 від 30.09.2016),</t>
  </si>
  <si>
    <t xml:space="preserve">капітальний ремонт житлових будинків </t>
  </si>
  <si>
    <t>виготовлення проектно-кошторисної документації на проведення робіт з капітального ремонту скверу Танкістів</t>
  </si>
  <si>
    <t>поточний ремонт пам'ятника на розі вул. І. Франка та вул. Пилипчука у м. Хмельницькому</t>
  </si>
  <si>
    <t>капітальний ремонт Дендропарку "Поділля" (в т.ч. фонтану)</t>
  </si>
  <si>
    <t>обсяг видатків на поточний ремонт прибудинкових територій</t>
  </si>
  <si>
    <t>капітальний ремонт підпірної стінки  в сквері Ангел Скорботи</t>
  </si>
  <si>
    <t xml:space="preserve">капітальний ремонт дитячих та спортивних майданчиків в парках і скверах міста </t>
  </si>
  <si>
    <t>кількість дитячих і спортивних майданчиків, що планується відремонтувати</t>
  </si>
  <si>
    <t>заміна світильників з лампою розжарювання на енергозберігаючі світильники (LED) по місту</t>
  </si>
  <si>
    <t xml:space="preserve">кількість світильників,  які необхідно замінити </t>
  </si>
  <si>
    <t>колодязь</t>
  </si>
  <si>
    <t>посадка нових зелених насаджень</t>
  </si>
  <si>
    <t>акт обміру</t>
  </si>
  <si>
    <t>площа парків і скверів, що підлягають утриманню</t>
  </si>
  <si>
    <t>площа газонів по вулицях міста, що підлягає викошуванню</t>
  </si>
  <si>
    <t>кількість малих архітектурних форм, які необхідно обслуговувати</t>
  </si>
  <si>
    <t>площа парків і скверів, що планується утримувати</t>
  </si>
  <si>
    <t>площа газонів по вулицях міста, що планується викошувати</t>
  </si>
  <si>
    <t>площа, на якій планується висаджувати та доглядати квітники</t>
  </si>
  <si>
    <t>кількість аварійних та сухостійних  дерев,  які планується видалити</t>
  </si>
  <si>
    <t>кількість  дерев, кущів, які планується обрізати та кронувати</t>
  </si>
  <si>
    <t>кількість малих архітектурних форм, які планується обслуговувати</t>
  </si>
  <si>
    <t>кількість фонтанів, які планується обслуговувати</t>
  </si>
  <si>
    <t>площа зелених зон по місту, що планується утримувати</t>
  </si>
  <si>
    <t xml:space="preserve">кількість новорічних ялинок по місту, які планується встановлювати </t>
  </si>
  <si>
    <t xml:space="preserve">середні витрати на викошування 1 кв. м газону </t>
  </si>
  <si>
    <t>середні витрати на видалення 1 аварійного та сухостійного дерева</t>
  </si>
  <si>
    <t>середні витрати на обрізку та кронування 1 дерева</t>
  </si>
  <si>
    <t>середні витрати на утримання 1 фонтану в рік</t>
  </si>
  <si>
    <t>середні витрати на посадку та догляд за 1 кв. м квітника</t>
  </si>
  <si>
    <t>середні витрати на обслуговування 1 од. малих архітектурних форм</t>
  </si>
  <si>
    <t>середні витрати на розміщення 1 од. елементу вертикального озеленення</t>
  </si>
  <si>
    <t>кількість елементів вертикального озеленення, які планується розмістити</t>
  </si>
  <si>
    <t>кількість елементів вертикального озеленення, які необхідно розмістити</t>
  </si>
  <si>
    <t>кількість новорічних ялинок по місту, які необхідно встановлювати</t>
  </si>
  <si>
    <t>площа борщівника Сосновського, яку необхідно викошувати</t>
  </si>
  <si>
    <t>кількість аварійних та сухостійних  дерев, які потребують видаленню</t>
  </si>
  <si>
    <t>кількість дерев, кущів, які потребують обрізки та кронування</t>
  </si>
  <si>
    <t>кількість фонтанів, які необхідно обслуговувати</t>
  </si>
  <si>
    <t>площа зелених зон по місту, які підлягають утриманню</t>
  </si>
  <si>
    <t>капітальний ремонт зелених насаджень (омолодження)</t>
  </si>
  <si>
    <t>середні витрати на встановлення 1 новорічної ялинки по місту</t>
  </si>
  <si>
    <t>капітальний ремонт відновлення газонів</t>
  </si>
  <si>
    <t>капітальний ремонт живоплоту</t>
  </si>
  <si>
    <t>капітальний ремонт зеленої зони по вул. Курчатова, 11-13</t>
  </si>
  <si>
    <t>площа газонів, що планується відновити</t>
  </si>
  <si>
    <t>площа газонів, що необхідно відновлювати</t>
  </si>
  <si>
    <t>п. м</t>
  </si>
  <si>
    <t>площа живоплоту, що підлягає догляду</t>
  </si>
  <si>
    <t>площа живоплоту, яку планується доглядати</t>
  </si>
  <si>
    <t>середні витрати на відновлення 1 кв. м площі газонів</t>
  </si>
  <si>
    <t>середні витрати на догляд 1 п. м площі живоплоту</t>
  </si>
  <si>
    <t>питома вага кількості аварійних дерев, що планується зрізати до кількості, які необхідно зрізати</t>
  </si>
  <si>
    <t>питома вага кількості дерев, що планується обрізати до кількості дерев, які необхідно обрізати та кронувати</t>
  </si>
  <si>
    <t>питома вага кількості малих архітектурних форм, що планується обслуговувати до кількості, які необхідно обслуговувати</t>
  </si>
  <si>
    <t>питома вага кількості фонтанів,які планується утримувати до кількості, які потребують утримуванню</t>
  </si>
  <si>
    <t>питома вага кількості елементів вертикального озеленення ,які планується розмістити до кількості, які потребують розміщення</t>
  </si>
  <si>
    <t>питома вага площі зелених зон по місту, що планується утримувати до площі, що необхідно утримувати</t>
  </si>
  <si>
    <t>питома вага кількості новорічних ялинок, що планується встановити до кількості, що необхідно встановити</t>
  </si>
  <si>
    <t xml:space="preserve">питома вага площі парків і скверів, які планується утримувати до площі, що підлягає утриманню  </t>
  </si>
  <si>
    <t>питома вага площі газонів, що планується викосити до площі газонів, що необхідно викосити</t>
  </si>
  <si>
    <t>питома вага площі газонів, що планується відновити до кількості, що необхідно відновити</t>
  </si>
  <si>
    <t>площа зеленої зони по вул. Курчатова, що потрібно відремонтувати</t>
  </si>
  <si>
    <t>площа зеленої зони по вул. Курчатова, яку планується відремонтувати</t>
  </si>
  <si>
    <t>зведений кошторисний розрахунок</t>
  </si>
  <si>
    <t>інвентаризаційна відомість</t>
  </si>
  <si>
    <t>службова записка начальника інженерно-технічного відділу УЖКГ</t>
  </si>
  <si>
    <t>середні витрати на придбання 1 каркасної фігури та висаджування рослин</t>
  </si>
  <si>
    <t>чи однакові роботи</t>
  </si>
  <si>
    <t>середні витрати на придбання та встановлення 1 світильника</t>
  </si>
  <si>
    <t>середні витрати на утримання об'єктів зовнішнього освітлення на 1 світлоточку</t>
  </si>
  <si>
    <t>питома вага кількості світильників, що планується придбати та встановити до кількості, що необхідно придбати та встановити</t>
  </si>
  <si>
    <t>питома вага кількості підсвіток які планується придбати та встановити до кількості, які необхідно придбати та встановити</t>
  </si>
  <si>
    <t>середньорічні витрати на улаштування закритих водостоків</t>
  </si>
  <si>
    <t>зведена відомість по ЖЕКах</t>
  </si>
  <si>
    <t xml:space="preserve">зведений кошторисний розрахунок (завершення робіт 2016 року) </t>
  </si>
  <si>
    <t>вул. Кам'янецька 77 б</t>
  </si>
  <si>
    <t>кількість об’єктів, в яких планується провести розчистку водовідвідних каналів</t>
  </si>
  <si>
    <t>кількість об’єктів, в яких необхідно провести розчистку водовідвідних каналів</t>
  </si>
  <si>
    <t>середні витрати на один робочий проект на капітальний ремонт - улаштування закритих водостоків</t>
  </si>
  <si>
    <t>питома вага кількості об’єктів, в яких планується провести розчистку водовідвідних каналів до кількості, в яких необхідно провести розчистку водовідвідних каналів</t>
  </si>
  <si>
    <t xml:space="preserve">кількість ліфтів, які необхідно замінити </t>
  </si>
  <si>
    <t>метраж об'єктів житлового фонду (будинків), що планується відремонтувати (площа покрівель)</t>
  </si>
  <si>
    <t xml:space="preserve">середні витрати на заміну 1 ліфта  </t>
  </si>
  <si>
    <t>робочі проекти на капітальний ремонт доріг та тротуарів</t>
  </si>
  <si>
    <t>лист-звернення ХКП "Міськсвітло"</t>
  </si>
  <si>
    <t>кількість ліфтів, які планується замінити</t>
  </si>
  <si>
    <t xml:space="preserve">кількість світильників,  які планується замінити </t>
  </si>
  <si>
    <t>кількість об'єктів благоустрою, які планується відремонтувати</t>
  </si>
  <si>
    <t>систематичне та своєчасне очищення вулиць,та доріг від пилу, сміття, грунтових та інших наносів, їх підмітання, поливання водою під час спеки, в зимовий період від снігу та обробка  фракційними та іншими протиожеледними матеріалами</t>
  </si>
  <si>
    <t>капітальний ремонт масивів індивідуальної забудови порівняно з попереднім роком</t>
  </si>
  <si>
    <t xml:space="preserve">капітальний ремонт - перемурування димових та вентиляційних труб на даху ж/б, в т.ч. кошторисна документація </t>
  </si>
  <si>
    <t>службова записка</t>
  </si>
  <si>
    <t>капітальний ремонт-заміна ліфтів в ж/б</t>
  </si>
  <si>
    <t>середня вартість на охорону 1 новорічної ялинки</t>
  </si>
  <si>
    <t>середня вартість поточного ремонту 1 об'єкту благоустрою</t>
  </si>
  <si>
    <t>середня вартість поточного ремонту 1 кв. м пішохідної доріжки</t>
  </si>
  <si>
    <t>середня вартість улаштування 1 кв. м площі контейнерних майданчиків</t>
  </si>
  <si>
    <t>середня вартість розчистки 1 м водовідвідних канав</t>
  </si>
  <si>
    <t>Обсяг видатків на проведення поточного ремонту інфраструктури доріг</t>
  </si>
  <si>
    <t>капітальний ремонт площі  на розі вул. Свободи та проспект Миру (в т.ч. фонтану) в м. Хмельницькому</t>
  </si>
  <si>
    <t>питома вага площі живоплоту, що планується доглядати до площі, що необхідно доглядати</t>
  </si>
  <si>
    <t>питома вага площі зеленої зони, що планується відремонтувати до площі, що необхідно відремонтувати</t>
  </si>
  <si>
    <t>питома вага площі висаджених квітників по місту до площі, на якій необхідно висадити квітники</t>
  </si>
  <si>
    <t>п.м</t>
  </si>
  <si>
    <t xml:space="preserve">грн. </t>
  </si>
  <si>
    <t xml:space="preserve">грн.
</t>
  </si>
  <si>
    <t>грн./
колодязь</t>
  </si>
  <si>
    <t>грн./п.м</t>
  </si>
  <si>
    <t xml:space="preserve">Завдання 1 Проведення капітального ремонту житлових будинків </t>
  </si>
  <si>
    <t>поточний ремонт та утримання вулично-дорожньої мережі</t>
  </si>
  <si>
    <t>видатки на ремонт  вулично-дорожньої мережі</t>
  </si>
  <si>
    <t>виправлення та заміна окремих бордюрних каменів, поребриків</t>
  </si>
  <si>
    <t>заміна пошкоджених плит, люків, решіток,  на водостічних мережах</t>
  </si>
  <si>
    <t>виправлення та заміна пошкоджених елементів транспортної та перильної огорожі</t>
  </si>
  <si>
    <t>укріплення узбіччя дороги</t>
  </si>
  <si>
    <t>виправлення пошкоджених і заміна непридатних  труб, водостоків, водоприймальних колодязів</t>
  </si>
  <si>
    <t>ліквідація окремих ушкоджень, щебеневого та асфальто-бетонного покриття а/бетонним сколом та щебенем</t>
  </si>
  <si>
    <t>ремонт щебеневого покриття доріг по вулицях  міста</t>
  </si>
  <si>
    <t>негайна ліквідація  дрібних деформацій і пошкоджень вулично-дорожньої мережі</t>
  </si>
  <si>
    <t>усунення напливів і колій на проїзній частині дороги з а/бетонним покриттям</t>
  </si>
  <si>
    <t>очищення, часткове, повне фарбування транспортної та перильної огорожі</t>
  </si>
  <si>
    <t xml:space="preserve">очищення і промивання водостічних мереж </t>
  </si>
  <si>
    <t>планування узбіччя дороги</t>
  </si>
  <si>
    <t>видатки на  утримання   вулично-дорожньої мережі</t>
  </si>
  <si>
    <t>заготівля та складування протиожеледних матеріалів</t>
  </si>
  <si>
    <t>видатки на утримання очисних споруд</t>
  </si>
  <si>
    <t xml:space="preserve">видатки на безпеку руху </t>
  </si>
  <si>
    <t>поточний ремонт-заміна технічних засобів  регулювання (контролерів) на світлофорних об'єктах</t>
  </si>
  <si>
    <t>поточний ремонт-заміна світлофорів на світлодіодні</t>
  </si>
  <si>
    <t>утримання світлофорних об'єктів</t>
  </si>
  <si>
    <t>встановлення,  заміна та експлуатація  дорожних знаків</t>
  </si>
  <si>
    <t>утримання пішохідної огорожі,ремонт та заміна пошкоджених секцій огорожі</t>
  </si>
  <si>
    <t>нанесення дорожньої розмітки</t>
  </si>
  <si>
    <t>кількість   бордюрних каменів, поребриків, які планується  виправити та замінити</t>
  </si>
  <si>
    <t xml:space="preserve">кількість пошкоджених плит, люків, решіток,  на водостічних мережах,  які планується замінити </t>
  </si>
  <si>
    <t>кількість  пошкоджених елементів транспортної та перильної огорожі, яку планується замінити</t>
  </si>
  <si>
    <t>площа  узбіччя дороги, яку планується укріпити</t>
  </si>
  <si>
    <t>площа  асфальто-бетонного покриття , яку планується відремонтувати  а/бетонним сколом та щебенем</t>
  </si>
  <si>
    <t>площа  щебеневого покриття доріг , яку планується відремонтувати</t>
  </si>
  <si>
    <t>площа вулично-дорожньої мережі на якій планується ліквідація  дрібних деформацій і пошкоджень</t>
  </si>
  <si>
    <t>площа усунення напливів і колій на проїзній частині дороги з а/бетонним покриттям</t>
  </si>
  <si>
    <t>площа транспортної та перильної огорожі на якій планується очищення, часткове, повне фарбування</t>
  </si>
  <si>
    <t>кількість колодязів, протяжність колекторів та труб які планується очистити і промити</t>
  </si>
  <si>
    <t>площа планування узбіччя дороги</t>
  </si>
  <si>
    <t>площа вулиць, мостів, шляхопроводів (доріг, тротуарів),що планується  утримувати в належному стані</t>
  </si>
  <si>
    <t>кількість контролерів, які планується  замінити</t>
  </si>
  <si>
    <t>кількість  світлофорів, які планується замінити  на світлодіодні</t>
  </si>
  <si>
    <t>кількість  світлофорних об'єктів, які  планується  утримувати</t>
  </si>
  <si>
    <t>кількість   дорожних знаків, які планується встановити, замінити, та утримувати в належному стані</t>
  </si>
  <si>
    <t xml:space="preserve">кількість пішохідної огорожі, яку  планується утримувати  </t>
  </si>
  <si>
    <t>середня вартість 1 п.м виправлення та заміни окремих бордюрних каменів, поребриків</t>
  </si>
  <si>
    <t>середня вартість заміни 1 шт. пошкоджених плит, люків, решіток,  на водостічних мережах</t>
  </si>
  <si>
    <t>середня  вартість виправлення та заміни 1 кв. м пошкоджених елементів транспортної та перильної огорожі</t>
  </si>
  <si>
    <t>середня вартість укріплення 1 кв. м узбіччя дороги</t>
  </si>
  <si>
    <t>середня вартість 1 кв. м ліквідації окремих ушкоджень, щебеневого та асфальто-бетонного покриття а/бетонним сколом та щебенем</t>
  </si>
  <si>
    <t>середня вартість ремонту 1 кв. м щебеневого покриття доріг по вулицях  міста</t>
  </si>
  <si>
    <t>середня вартість негайної 1 кв. м  ліквідації  дрібних деформацій і пошкоджень вулично-дорожньої мережі</t>
  </si>
  <si>
    <t>середня вартість усунення 1 кв. м напливів і колій на проїзній частині дороги з а/бетонним покриттям</t>
  </si>
  <si>
    <t>середня вартість очищення, часткове, повне фарбування 1 кв. м транспортної та перильної огорожі</t>
  </si>
  <si>
    <t xml:space="preserve">середня вартість очищення і промивання водостічних мереж </t>
  </si>
  <si>
    <t>середня вартість планування 1 тис. кв.м узбіччя дороги</t>
  </si>
  <si>
    <t xml:space="preserve">середня вартість  утримання 100 кв.м  вулиць, доріг  в осіньо-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</si>
  <si>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</si>
  <si>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заміни 1 контролера на світлофорних об'єктах</t>
  </si>
  <si>
    <t>середня вартість заміни 1 світлофора на світлодіодний</t>
  </si>
  <si>
    <t>середня вартість утримання 1 світлофорного об'єкту</t>
  </si>
  <si>
    <t>середня вартість встановлення, заміни та експлуатації 1 дорожнього знаку</t>
  </si>
  <si>
    <t>середня вартість утримання, ремонту та заміни  п. м пішохідної огорожі</t>
  </si>
  <si>
    <t>середня вартість 1 кв.м дорожньої розміти</t>
  </si>
  <si>
    <t>темп зростання  середньої вартості  заміни пошкоджених плит, люків, решіток,  на водостічних мережах  в порівнянні з попереднім роком</t>
  </si>
  <si>
    <t>темп зростання  середньої вартості укріплення узбіччя дороги  в порівнянні з попереднім роком</t>
  </si>
  <si>
    <t>темп зростання  середньої вартості  виправлення пошкоджених і заміна непридатних  труб, водостоків, водоприймальних колодязів   в порівнянні з попереднім роком</t>
  </si>
  <si>
    <t>темп зростання  середньої вартості  ліквідації окремих ушкоджень, щебеневого та асфальто-бетонного покриття а/бетонним сколом та щебенем  в порівнянні з попереднім роком</t>
  </si>
  <si>
    <t>темп зростання  середньої вартості  ремонту щебеневого покриття доріг по вулицях  міста в порівнянні з попереднім роком</t>
  </si>
  <si>
    <t>темп зростання  середньої вартості   негайної ліквідації  дрібних деформацій і пошкоджень вулично-дорожньої мережі  в порівнянні з попереднім роком</t>
  </si>
  <si>
    <t>темп зростання  середньої вартості очищення і промивання водостічних мереж  в порівнянні з попереднім роком</t>
  </si>
  <si>
    <t>темп зростання  середньої вартості   планування узбіччя дороги  в порівнянні з попереднім роком</t>
  </si>
  <si>
    <t>темп зростання  середньої вартості утримання  1 кв. м  вулиць, доріг  в осіньо- зимовий період в порівнянні з попереднім роком</t>
  </si>
  <si>
    <t>темп зростання  середньої вартості утримання  1 кв. м  вулиць, доріг в весняно-літній  період  в порівнянні з попереднім роком</t>
  </si>
  <si>
    <t>темп зростання  середньої вартості   заміни   контролерів  на світлофорних об'єктах  в порівнянні з попереднім роком</t>
  </si>
  <si>
    <t>темп зростання  середньої вартості   встановлення,  заміни та експлуатації  дорожних знаків  в порівнянні з попереднім роком</t>
  </si>
  <si>
    <t>витрати на виготовлення морфологічних досліджень на полігоні ТПВ</t>
  </si>
  <si>
    <t>витрати на рік на ремонт 1 га  площі зеленої зони по вул. Курчатова</t>
  </si>
  <si>
    <t>середні витрати на утримання 0,94 га зелених зон по місту в рік</t>
  </si>
  <si>
    <t>середні витрати на утримання 1 га парків і скверів за рік</t>
  </si>
  <si>
    <t>кількість проектно-кошторисної документації, яку необхідно виготовити</t>
  </si>
  <si>
    <t>кількість проектно-кошторисної документації, яку планується виготовити</t>
  </si>
  <si>
    <t>м</t>
  </si>
  <si>
    <t xml:space="preserve">площа дерев'яних брусків на лавках, що необхідно відремонтувати </t>
  </si>
  <si>
    <t xml:space="preserve">площа дерев'яних брусків на лавках, що планується відремонтувати </t>
  </si>
  <si>
    <t>площа водовідвідних канав, що необхідно розчистити</t>
  </si>
  <si>
    <t>площа водовідвідних канав, що планується розчистити</t>
  </si>
  <si>
    <t xml:space="preserve">площа пішохідної доріжки в парку культури і відпочинку ім. М. Чекмана, що планується відремонтувати </t>
  </si>
  <si>
    <t xml:space="preserve">площа лотків водовідведення по вул. Проскурівській, що планується відремонтувати </t>
  </si>
  <si>
    <t xml:space="preserve">площа пішохідної доріжки в парку культури і відпочинку ім. М. Чекмана, що необхідно відремонтувати </t>
  </si>
  <si>
    <t xml:space="preserve">площа лотків водовідведення по вул. Проскурівській, що необхідно відремонтувати </t>
  </si>
  <si>
    <t>питома вага площі пішохідної доріжки в парку, що планується відремонтувати до площі, яка потребує ремонту</t>
  </si>
  <si>
    <t>питома вага площі лотків водовідведення, що планується відремонтувати до площі, яка потребує ремонту</t>
  </si>
  <si>
    <t>питома вага площі контейнерних майданчиків, що планується улаштувати до площі, що необхідно улаштувати</t>
  </si>
  <si>
    <t>відсоток кількості об’єктів, що планується відремонтувати, до кількості об’єктів, що потребують ремонту</t>
  </si>
  <si>
    <t>питома вага площі водовідвідних канав, що планується розчистити до площі, що необхідно розчистити</t>
  </si>
  <si>
    <t>середні витрати на виготовлення 1 проектно-кошторисної документації</t>
  </si>
  <si>
    <t>питома вага кількості об'єктів, що планується відремонтувати до кількості об'єктів, що потребують ремонту</t>
  </si>
  <si>
    <t>т</t>
  </si>
  <si>
    <t>кількість протиожеледних матеріалів, яку планується заготовити</t>
  </si>
  <si>
    <t>середня вартість  заготівлі протиожеледних матеріалів</t>
  </si>
  <si>
    <t>питома вага кількості майданчиків, що планується відремонтувати до кількості майданчиків, що потребують ремонту</t>
  </si>
  <si>
    <t xml:space="preserve">кількість  квіткової рослини, які планується висадити </t>
  </si>
  <si>
    <t xml:space="preserve">кількість  квіткової рослини, які необхідно висадити </t>
  </si>
  <si>
    <t>питома вага кількості квіткових рослин, що планується висадити до кількості, що необхідно висадити</t>
  </si>
  <si>
    <t>площа квітників, що підлягає висаджуванню та догляду</t>
  </si>
  <si>
    <t>площа території привокзальної площі, яку необхідно утримувати</t>
  </si>
  <si>
    <t>середні витрати на встановлення 1 технічного засобу</t>
  </si>
  <si>
    <t>кількість вуличних стоянок автомобілів, які необхіно улаштувати</t>
  </si>
  <si>
    <t>кількість вуличних стоянок автомобілів, які планується улаштувати</t>
  </si>
  <si>
    <t>середні витрати на влаштування 1 стоянки</t>
  </si>
  <si>
    <t xml:space="preserve">питома вага кількості стоянок, які планується влаштувати до кількості, що необхідно влаштувати </t>
  </si>
  <si>
    <t xml:space="preserve">середні витрати на капітальний ремонт мосту </t>
  </si>
  <si>
    <t>кількість центрів автоматизованої системи керування рухом, які необхідно обладнати</t>
  </si>
  <si>
    <t>кількість центрів автоматизованої системи керування рухом, які планується обладнати</t>
  </si>
  <si>
    <t>питома вага кількості центрів автоматизованої системи керування рухом, які планується обладнати до кількості, що необхідно обладнати</t>
  </si>
  <si>
    <t>питома вага кількості технічних засобів, які планується встановити до кількості, що необхідно встановити</t>
  </si>
  <si>
    <t>кількість світлоточок які плануєтьтся відремонтувати та утримувати (поточний ремонт)</t>
  </si>
  <si>
    <t>середні витрати на святкове оформлення міста</t>
  </si>
  <si>
    <t>середні витрати на омолодження 1 дерева</t>
  </si>
  <si>
    <t>питома вага площі викошування борщівника, що планується викосити до кількості викошування борщівника, що необхідно викосити</t>
  </si>
  <si>
    <t>питома вага площі прибережних смуг, що планується утримувати до площі прибережних смуг, що необхідно утримувати</t>
  </si>
  <si>
    <t>питома вага площі території привокзальної площі, що планується утримувати до площі території привокзальної площі, що необхідно утримувати</t>
  </si>
  <si>
    <t>тис. п. м</t>
  </si>
  <si>
    <t>середні витрати на заміну 1 п.м трубопроводу</t>
  </si>
  <si>
    <t>кількість об'єктів житлового фонду (будинків), що планується відремонтувати (в розрізі їх видів):</t>
  </si>
  <si>
    <t xml:space="preserve">середні витрати 1 куб м природного газу, який постачається до факелу "Вічний вогонь" </t>
  </si>
  <si>
    <t>км</t>
  </si>
  <si>
    <t>утримання прибережних смуг водойм по місту</t>
  </si>
  <si>
    <t>утримання привокзальної площі залізничного вокзалу</t>
  </si>
  <si>
    <t>послуги по поточному ремонту та утриманню парків і скверів міста</t>
  </si>
  <si>
    <t>послуги по поточному ремонту та утриманню зелених насаджень, штучних споруд та малих архітектурних форм міста (в т.ч. вертикальне озеленення вулиць міста)</t>
  </si>
  <si>
    <t>послуги по поточному ремонту та утриманню кладовищ</t>
  </si>
  <si>
    <t>заміна табличок на Військовому кладовищі</t>
  </si>
  <si>
    <t>послуги по поточному ремонту та утриманню мереж зовнішнього освітлення</t>
  </si>
  <si>
    <t>видатки на викошування борщівника Сосновського на території міста</t>
  </si>
  <si>
    <t xml:space="preserve">освітлення міста </t>
  </si>
  <si>
    <t>послуги по капітальному ремонту мереж зовнішнього освітлення</t>
  </si>
  <si>
    <t>переробка (утилізація) гілля</t>
  </si>
  <si>
    <t>середні витрати на переробку 1 куб. м гілля</t>
  </si>
  <si>
    <t>поточний ремонт пішохідної доріжки  в парку культури і відпочинку ім. М. Чекмана</t>
  </si>
  <si>
    <t>поточний ремонт лотків водовідведення по вул. Проскурівській</t>
  </si>
  <si>
    <t xml:space="preserve">поточний ремонт Стели на військовому кладовищі </t>
  </si>
  <si>
    <t xml:space="preserve">розчистка водовідвідних канав по місту </t>
  </si>
  <si>
    <t>послуги з утримання дренажних насосних станцій вул. Саварчука, Вокзальній, пров. Зенітному</t>
  </si>
  <si>
    <t>розчистка водовідвідних каналів, розташованих в заплаві річки Південний Буг в м. Хмельницькому</t>
  </si>
  <si>
    <t>виготовлення проектно-кошторисної документації на капітальний ремонт фонтанів на Майдані Незалежності</t>
  </si>
  <si>
    <t>капітальний ремонт Привокзальної площі (зони відпочинку від вул. Проскурівської до вул. Шевченка) в м. Хмельницькому</t>
  </si>
  <si>
    <t>площа тротуарних доріжок в парках і скверах, які  необхідно ремонтувати</t>
  </si>
  <si>
    <t>площа тротуарних доріжок в парках і скверах, які  планується ремонтувати</t>
  </si>
  <si>
    <t>середні витрати на ремонт 1 кв.м тротуарних доріжок в парках і скверах</t>
  </si>
  <si>
    <t>капітальний ремонт містків пішохідних через водовідвідні канави в парку культури і відпочинку ім. М. Чекмана (в районі вул. Городньої та спорткомплексу «Спартак») в м. Хмельницькому, та проведення його експертизи</t>
  </si>
  <si>
    <t>площа пішохідних містків через водовідвідні канави в парку культури і відпочинку ім. М. Чекмана, які необхідно відремонтувати</t>
  </si>
  <si>
    <t>завдання на проектування</t>
  </si>
  <si>
    <t>середні витрати на капітальний ремонт 1 кв. м пішохідних містків</t>
  </si>
  <si>
    <t>лист-замовлення</t>
  </si>
  <si>
    <t>лист замовлення</t>
  </si>
  <si>
    <t>площа дорожньої розмітки, яку планується нанести</t>
  </si>
  <si>
    <t>листи-звернення мешканців</t>
  </si>
  <si>
    <t>поточний ремонт та гідродинамічне очищення дощової каналізації</t>
  </si>
  <si>
    <t>темп зростання  середньої вартості нанесення дорожньої розмітки в порівнянні з попереднім роком</t>
  </si>
  <si>
    <t xml:space="preserve">поточний ремонт покриття контейнерних майданчиків по місту </t>
  </si>
  <si>
    <t>кількість відеокамер, які необхідно встановити</t>
  </si>
  <si>
    <t>зведений кошторис</t>
  </si>
  <si>
    <t>кількість відеокамер, які планується  встановити</t>
  </si>
  <si>
    <t>питома вага кількості відеокамер, які планується встановити до кількості, що необхідно встановити</t>
  </si>
  <si>
    <t>тис. грн.</t>
  </si>
  <si>
    <t>0456</t>
  </si>
  <si>
    <t>площа шляхів на яких планується провести поточний ремонт</t>
  </si>
  <si>
    <t>середні витрати на поточний ремонт 1 кв. м доріг</t>
  </si>
  <si>
    <t>динаміка відремонтованої за рахунок поточного ремонту площі вулично-дорожної мережі порівняно з попереднім роком</t>
  </si>
  <si>
    <t>площа доріг масивів, на яких планується провести капітальний ремонт</t>
  </si>
  <si>
    <t>площа шляхів, на яких планується провести капітальний ремонт</t>
  </si>
  <si>
    <t>середня вартість 1 кв. м капітального ремонту</t>
  </si>
  <si>
    <t>середні витрати на капітальний ремонт 1 кв. м доріг масивів</t>
  </si>
  <si>
    <t>кількість об’єктів транспортної інфраструктури, які планується утримувати:</t>
  </si>
  <si>
    <t>капітальний ремонт мосту через р. Південний Буг по вул. Старокостянтинівське шосе</t>
  </si>
  <si>
    <t>кількість зупинок, які необхіно улаштувати</t>
  </si>
  <si>
    <t>рішення сесії міської ради</t>
  </si>
  <si>
    <t>тис. мп</t>
  </si>
  <si>
    <t>метраж об'єктів житлового фонду (будинків), що потребують ремонту (заміна ушкоджених ділянок трубопроводів)</t>
  </si>
  <si>
    <t>кількість ліфтів в будинках, яким необхідно провести експертне обстеження</t>
  </si>
  <si>
    <t>кількість ліфтів в будинках, яким планується провести експертне обстеження</t>
  </si>
  <si>
    <t>середні витрати на експертне обстеження 1 ліфта</t>
  </si>
  <si>
    <t>питома вага кількості об'єктів житлового фонду (будинків), на яких планується проведення капітального, до кількості об'єктів (будинків), що потребують капітального ремонту (в розрізі їх видів)</t>
  </si>
  <si>
    <t>площа асфальтового покриття прибудинкових територій, що потребує поточного ремонту</t>
  </si>
  <si>
    <t>середні витрати на ремонт 1 кв.м асфальтового покриття</t>
  </si>
  <si>
    <t>площа асфальтового покриття прибудинкових територій, що планується відремонтувати</t>
  </si>
  <si>
    <t>послуга</t>
  </si>
  <si>
    <t>відсоток кількості світлоточок, які планується замінити до загальної кількості світлоточок</t>
  </si>
  <si>
    <t>тис. кВт</t>
  </si>
  <si>
    <t>обсяг споживання електроенергії на зовнішнє освітлення в рік</t>
  </si>
  <si>
    <t>кількість табличок, які необхідно замінити на Військовому кладовищі</t>
  </si>
  <si>
    <t>середні витрати на заміну 1 таблички</t>
  </si>
  <si>
    <t>видаткова накладна</t>
  </si>
  <si>
    <t xml:space="preserve">кількість будинків, в яких планується здійснити укріплення стін  натяжними металевими зв'язками </t>
  </si>
  <si>
    <t>кількість будинків, в яких планується встановити розподільчі  та запобіжні коробки і щитки</t>
  </si>
  <si>
    <t>метраж об'єктів житлового фонду (будинків), що планується відремонтувати (заміна ушкоджених ділянок трубопроводів)</t>
  </si>
  <si>
    <t>темп зростання середніх витрат на утримання об'єктів зовнішнього освітлення порівняно з попереднім періодом</t>
  </si>
  <si>
    <t>обсяг видатків, в т.ч.:</t>
  </si>
  <si>
    <t>утримання громадського туалету</t>
  </si>
  <si>
    <t>регулювання чисельності тварин</t>
  </si>
  <si>
    <t>знешкодження  твердих побутових відходів на полігоні ТПВ, які вивезені транспортом комунальних підприємств</t>
  </si>
  <si>
    <t>виготовлення морфологічних досліджень на полігоні ТПВ</t>
  </si>
  <si>
    <t>загальна площа полігону, на який здійснюється вивіз ТПВ</t>
  </si>
  <si>
    <t>утримання бездоглядних тварин в притулку</t>
  </si>
  <si>
    <t>середньомісячні витрати на утримання громадських туалетів</t>
  </si>
  <si>
    <t>середні витрати на регулювання чисельності тварин (на одиницю)</t>
  </si>
  <si>
    <t>середні витрати на знешкодження 1 куб. м твердих побутових відходів на полігоні ТПВ</t>
  </si>
  <si>
    <t>темп зростання середньої суми утримання підприємства порівняно з попереднім періодом</t>
  </si>
  <si>
    <t>обсяг видатків</t>
  </si>
  <si>
    <t>кількість природного газу, який постачається до факелу "Вічний вогонь"</t>
  </si>
  <si>
    <t>темп зменшення середніх витрат на природний газ, який постачається до факелу "Вічний вогонь" порівняно з попереднім роком</t>
  </si>
  <si>
    <t>розрахунково</t>
  </si>
  <si>
    <t>Завдання 3 Капітальний ремонт прибудинкових територій</t>
  </si>
  <si>
    <t xml:space="preserve">Завдання 2 Капітальний ремонт спортивних і дитячих майданчиків </t>
  </si>
  <si>
    <t>(найменування головного розпорядника коштів місцевого бюджету)</t>
  </si>
  <si>
    <t>(найменування місцевого фінансового органу)</t>
  </si>
  <si>
    <t>ПАСПОРТ</t>
  </si>
  <si>
    <t>бюджетної програми місцевого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</si>
  <si>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</si>
  <si>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</si>
  <si>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</si>
  <si>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</si>
  <si>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</si>
  <si>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</si>
  <si>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(найменування бюджетної програми)</t>
  </si>
  <si>
    <t>4.</t>
  </si>
  <si>
    <t>тис. гривень, у тому числі</t>
  </si>
  <si>
    <t xml:space="preserve">із загального фонду - </t>
  </si>
  <si>
    <t xml:space="preserve">із спеціального фонду - </t>
  </si>
  <si>
    <t>5.</t>
  </si>
  <si>
    <t>Підстави для виконання бюджетної програми:</t>
  </si>
  <si>
    <t>6.</t>
  </si>
  <si>
    <t>7.</t>
  </si>
  <si>
    <t xml:space="preserve">Підвищення експлуатаційних властивостей житлового фонду і утримання його у належному стані, забезпечення його </t>
  </si>
  <si>
    <t>0610</t>
  </si>
  <si>
    <t>кількість об'єктів  житлового фонду (будинків), що потребують   ремонту (в розрізі їх видів):</t>
  </si>
  <si>
    <t>кількість будинків, в яких необхідно встановити розподільчі  та запобіжні щитки</t>
  </si>
  <si>
    <t xml:space="preserve">кількість будинків, в яких необхідно здійснити укріплення стін  натяжними металевими зв'язками  </t>
  </si>
  <si>
    <t>метраж об'єктів житлового фонду (будинків), що потребують ремонту (площа покрівель)</t>
  </si>
  <si>
    <t>тис. кв. м</t>
  </si>
  <si>
    <t>середні витрати на укріплення стін натяжними металевими зв'язками в 1 будинку</t>
  </si>
  <si>
    <t>середні витрати на встановлення щитків в 1 будинку</t>
  </si>
  <si>
    <t>середні витрати на капітальний ремонт 1 кв.м покрівлі</t>
  </si>
  <si>
    <t>кількість спортивних і дитячих майданчиків, які потребують ремонту</t>
  </si>
  <si>
    <t>кількість спортивних і дитячих майданчиків, які планується відремонтувати</t>
  </si>
  <si>
    <t>середня вартість облаштування одного майданчика</t>
  </si>
  <si>
    <t>питома вага кількості майданчиків, на яких планується проведення капітального ремонту до кількості, що потребують ремонту</t>
  </si>
  <si>
    <t>площа прибудинкової території, на якій планується проведення капітального ремонту</t>
  </si>
  <si>
    <t>площа прибудинкової території, яка потребує капітального ремонту</t>
  </si>
  <si>
    <t>середні витрати на капітальний ремонт 1 кв.м прибудинкової території</t>
  </si>
  <si>
    <t>питома вага площі прибудинкових територій, на яких планується проведення капітального ремонту до кількості, що потребують ремонту</t>
  </si>
  <si>
    <t>С. Ямчук</t>
  </si>
  <si>
    <t>Хмельницької міської ради</t>
  </si>
  <si>
    <t>0620</t>
  </si>
  <si>
    <t>тис. куб. м</t>
  </si>
  <si>
    <t>кв. м</t>
  </si>
  <si>
    <t xml:space="preserve">середні витрати на 1 га площі викошування борщівника </t>
  </si>
  <si>
    <t>Завдання 4 Послуги по санітарному очищенню і прибирання міста</t>
  </si>
  <si>
    <t>вул. Проскурівська 40 б</t>
  </si>
  <si>
    <t>калькуляція</t>
  </si>
  <si>
    <t>куб. м</t>
  </si>
  <si>
    <t>Завдання 5 Забезпечення утримання в належному технічному стані об’єктів дорожнього господарства</t>
  </si>
  <si>
    <t>Завдання 6 Послуги з постачання та транспортування природного газу для факелу "Вічний вогонь"</t>
  </si>
  <si>
    <t>Завдання 7 Проведення поточного ремонту об'єктів благоустрою</t>
  </si>
  <si>
    <t>охорона міських новорічних ялинок</t>
  </si>
  <si>
    <t>святкове оформлення міста</t>
  </si>
  <si>
    <t>розрахунок вартості</t>
  </si>
  <si>
    <t>Завдання 8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</si>
  <si>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кількість насосних станцій, що підлягають утриманню</t>
  </si>
  <si>
    <t xml:space="preserve">середні видатки на утримання 1 дренажної станції </t>
  </si>
  <si>
    <t>Завдання 11 Поточний ремонт прибудинкових територій</t>
  </si>
  <si>
    <t>Завдання 9 Забезпечення облаштування та утримання окремої території (парку, скверу тощо)</t>
  </si>
  <si>
    <t>кількість дерев, які планується омолодити</t>
  </si>
  <si>
    <t>площа вулично-дорожньої мережі масивів нової індивідуальної забудови, які потребують поточного ремонту</t>
  </si>
  <si>
    <t xml:space="preserve">Завдання 10 Проведення поточного ремонту об'єктів транспортної інфраструктури </t>
  </si>
  <si>
    <t>площа вулично-дорожньої мережі масивів нової індивідуальної забудови, на яких планується провести поточний ремонт</t>
  </si>
  <si>
    <t xml:space="preserve">тис. кв.м </t>
  </si>
  <si>
    <t>надійності та безпечної експлуатації, покращення умов проживання мешканців міста</t>
  </si>
  <si>
    <t>Обсяг видатків, в т.ч.:</t>
  </si>
  <si>
    <t>Підвищення рівня благоустрою міста</t>
  </si>
  <si>
    <t>(тис. грн.)</t>
  </si>
  <si>
    <t>Підпрогама 1</t>
  </si>
  <si>
    <t>Інвестиційний проект 1</t>
  </si>
  <si>
    <t>Надходження із бюджету</t>
  </si>
  <si>
    <t>...</t>
  </si>
  <si>
    <t>Інвестиційний проект 2</t>
  </si>
  <si>
    <t>Усього</t>
  </si>
  <si>
    <t>Капітальний ремонт об'єктів житлового господарства</t>
  </si>
  <si>
    <t>Утримання та розвиток інфраструктури доріг</t>
  </si>
  <si>
    <t>шт.</t>
  </si>
  <si>
    <t>виробнича програма</t>
  </si>
  <si>
    <t>№ з/п</t>
  </si>
  <si>
    <t>загальний фонд</t>
  </si>
  <si>
    <t>спеціальний фонд</t>
  </si>
  <si>
    <t>Разом</t>
  </si>
  <si>
    <t>Джерело інформації</t>
  </si>
  <si>
    <t>Показники затрат</t>
  </si>
  <si>
    <t>ПОГОДЖЕНО</t>
  </si>
  <si>
    <t>тис.грн.</t>
  </si>
  <si>
    <t>титульний список</t>
  </si>
  <si>
    <t>кошторис</t>
  </si>
  <si>
    <t>Показники продукту</t>
  </si>
  <si>
    <t>Показники ефективності</t>
  </si>
  <si>
    <t>грн.</t>
  </si>
  <si>
    <t>%</t>
  </si>
  <si>
    <t>Показники якості</t>
  </si>
  <si>
    <t>розрахунок</t>
  </si>
  <si>
    <t>Код</t>
  </si>
  <si>
    <t>Найменування джерел надходжень</t>
  </si>
  <si>
    <t>Пояснення, що характеризують джерела фінансування</t>
  </si>
  <si>
    <t>Інші джерела фінансування (за видами)</t>
  </si>
  <si>
    <t>(підпис)</t>
  </si>
  <si>
    <r>
      <t xml:space="preserve">Наказ </t>
    </r>
    <r>
      <rPr>
        <sz val="12"/>
        <rFont val="Times New Roman"/>
        <family val="1"/>
      </rPr>
      <t xml:space="preserve">/ розпорядчий документ </t>
    </r>
  </si>
  <si>
    <t>Затверджено</t>
  </si>
  <si>
    <t>Наказ Міністерства фінансів України</t>
  </si>
  <si>
    <t xml:space="preserve">тис. гривень </t>
  </si>
  <si>
    <t>тис. гривень.</t>
  </si>
  <si>
    <t>Мета бюджетної програми:</t>
  </si>
  <si>
    <t xml:space="preserve">8. </t>
  </si>
  <si>
    <t xml:space="preserve"> </t>
  </si>
  <si>
    <t>бюджету на 2017 рік</t>
  </si>
  <si>
    <t>9.</t>
  </si>
  <si>
    <t>10.</t>
  </si>
  <si>
    <t>Одиниця виміру</t>
  </si>
  <si>
    <t>акт обстеження</t>
  </si>
  <si>
    <t>Благоустрій міст, сіл, селищ</t>
  </si>
  <si>
    <t>га</t>
  </si>
  <si>
    <t>акт інвентаризації</t>
  </si>
  <si>
    <t>Назва підпрограми</t>
  </si>
  <si>
    <t>КПКВК</t>
  </si>
  <si>
    <t>Підпрограми, спрямовані на досягнення мети, визначеної паспортом бюджетної програми:</t>
  </si>
  <si>
    <t xml:space="preserve">Обсяги фінансування бюджетної програми у розрізі підпрограм та завдань: </t>
  </si>
  <si>
    <t>Результативні показники бюджетної програми у розрізі підпрограм і завдань:</t>
  </si>
  <si>
    <t>26 серпня 2014 року № 836</t>
  </si>
  <si>
    <t>Обсяг бюджетних призначень/ бюджетних асигнувань</t>
  </si>
  <si>
    <t>КФКВК</t>
  </si>
  <si>
    <t>Підпрограма 1</t>
  </si>
  <si>
    <t>Підпрограма 2</t>
  </si>
  <si>
    <t>Назва регіональної цільової програми та підпрограми</t>
  </si>
  <si>
    <t>Загальний фонд</t>
  </si>
  <si>
    <t>Спеціальний фонд</t>
  </si>
  <si>
    <t>Значення показника</t>
  </si>
  <si>
    <t xml:space="preserve">План видатків звітного періоду </t>
  </si>
  <si>
    <t>х</t>
  </si>
  <si>
    <t>Обсяг видатків</t>
  </si>
  <si>
    <t>од.</t>
  </si>
  <si>
    <t xml:space="preserve">акт обстеження </t>
  </si>
  <si>
    <t>перевірити</t>
  </si>
  <si>
    <t xml:space="preserve">середньомісячні витрати на утримання бездоглядних тварин в притулку </t>
  </si>
  <si>
    <t>темп зростання середньомісячної суми утримання бездоглядних тварин в притулку порівняно з попереднім періодом</t>
  </si>
  <si>
    <t xml:space="preserve">попереднє обстеження </t>
  </si>
  <si>
    <t>середня вартість капітального ремонту одного майданчика (в т.ч. закупівля майданчика, монтаж та благоустрій прилеглої території)</t>
  </si>
  <si>
    <t>середня вартість капітального ремонту 1 об'єкту</t>
  </si>
  <si>
    <t>загальна площа кладовищ, що утримується</t>
  </si>
  <si>
    <t>площа кладовищ, яку планується утримувати</t>
  </si>
  <si>
    <t>середньорічні витрати на утримання 1 га кладовища</t>
  </si>
  <si>
    <t>витрати на обладнання центру автоматизованої системи керування рухом</t>
  </si>
  <si>
    <t>площа тротуарів, яку необхідно улаштувати</t>
  </si>
  <si>
    <t>площа тротуарів, яку планується улаштувати</t>
  </si>
  <si>
    <t>середні витрати на влаштування 1 кв. м тротуару</t>
  </si>
  <si>
    <t>питома вага площі тротуарів, які планується влаштувати до площі, що необхідно влаштувати</t>
  </si>
  <si>
    <t>середні витрати на капітальний ремонт 1 світлоточки (в т. ч. демонтаж старих ліній, монтаж нових ліній (затискачів, кронштейнів, проводу СІП, кабелю АВВГ, світильника типу LED))</t>
  </si>
  <si>
    <t xml:space="preserve">кількість світлоточок, які планується відремонтувати </t>
  </si>
  <si>
    <t xml:space="preserve">кількість світлоточок, які  потребують капітального ремонту </t>
  </si>
  <si>
    <t>робочий проект</t>
  </si>
  <si>
    <t>питома вага площі кладовищ, що планується утримувати, до загальної площі кладовищ</t>
  </si>
  <si>
    <t xml:space="preserve">колодязь </t>
  </si>
  <si>
    <t>об'єкт</t>
  </si>
  <si>
    <t>фінансове управління Хмельницької міської ради</t>
  </si>
  <si>
    <t>середні витрати на висаджування 1 од. квіткової рослини</t>
  </si>
  <si>
    <t>В. Новачок</t>
  </si>
  <si>
    <t>орієнтовний розрахунок</t>
  </si>
  <si>
    <t>темп зменшення середньої вартості  утримання світлофорних об'єктів   в порівнянні з попереднім роком</t>
  </si>
  <si>
    <t>кількість світлофорних об'єктів, які необхідно установити, в т. ч. робочих проектів</t>
  </si>
  <si>
    <t>кількість світлофорних об'єктів, які планується установити, в т.ч. робочих проектів</t>
  </si>
  <si>
    <t>середні витрати на встановлення 1 світлофорного об'єкта, в т.ч. робочого проекту</t>
  </si>
  <si>
    <t>питома вага кількості світлофорних об'єктів, в т.ч. робочих проектів, які планується встановити до кількості, що необхідно встановити</t>
  </si>
  <si>
    <t>динаміка відремонтованої за рахунок капітального ремонту площі вулично-дорожньої мережі порівняно з попереднім роком</t>
  </si>
  <si>
    <t>кількість каркасних фігур, які необхідно придбати для висаджування рослин</t>
  </si>
  <si>
    <t>кількість каркасних фігур, які планується придбати для висаджування рослин</t>
  </si>
  <si>
    <t xml:space="preserve">акт обміру/ витяг з рішення ХМР </t>
  </si>
  <si>
    <t>площа дерев та кущів, що планується доглядати</t>
  </si>
  <si>
    <t>площа дерев та кущів, що потребують догляду</t>
  </si>
  <si>
    <t>акт обміру/ розрахунок</t>
  </si>
  <si>
    <t>галузеві комунальні норми</t>
  </si>
  <si>
    <t>завдання на виготовлення ПКД</t>
  </si>
  <si>
    <t xml:space="preserve">дефектний акт </t>
  </si>
  <si>
    <t>проектно-кошторисеа документація/ топонімічна  зйомка</t>
  </si>
  <si>
    <t>акт обстеження житлового будинку</t>
  </si>
  <si>
    <t>проектно-которисна документація</t>
  </si>
  <si>
    <t>середні витрати на догляд та утримання 1 кв. м площі дерев та кущів</t>
  </si>
  <si>
    <t>питома вага площі дерев та кущів, що планується доглядати до площі, що потрубує догляду</t>
  </si>
  <si>
    <t>показники лічильника</t>
  </si>
  <si>
    <t>поточний ремонт території загального користування (облаштування велопарковки) біля будинку</t>
  </si>
  <si>
    <t xml:space="preserve">площа покриття контейнерних майданчиків, що необхідно відремонтувати </t>
  </si>
  <si>
    <t xml:space="preserve">площа покриття контейнерних майданчиків, що планується відремонтувати </t>
  </si>
  <si>
    <t>та звітів про їх виконання (із змінами, внесеними згідно з Наказом Міністерства фінансів № 860 від 30.09.2016), рішення сесії Хмельницької міської ради  від 29.12.2016 р. № 12 "Про бюджет міста Хмельницького на 2017 рік", рішення сесії Хмельницької міської ради від 22.03.2017 р. № 2 "Про внесення змін до бюджету міста Хмельницького на 2017 рік", рішення сесії Хмельницької міської ради від 12.07.2017 р. № 3 "Про внесення змін до бюджету міста Хмельницького на 2017 рік", Програма утримання та розвитку житлово-комунального господарства та благоустрою м. Хмельницького на 2017-2020 роки, витяг з протоколу № 56 від 09.08.2017 року та витяг з протоколу №62 від 28.09.2017 року засідання постійної комісії з питань планування, бюджету фінансів та децентралізації, рішення сесії Хмельницької міської ради від 25.10.2017 р. № 1 "Про внесення змін до бюджету міста Хмельницького на 2017 рік",витяг з протоколу постійної комісії з питань роботи житлово-комунального господарства, приватизації та використання майна територіальної громади міста від 07.11.2017 р. № 75, витяг з протоколу засідання постійної комісії з питань планування, бюджету фінансів та децентралізації від 07.11.2017 року № 65, витяг з протоколу засідання постійної комісії з питань планування, бюджету фінансів та децентралізації від 28.11.2017 року № 70, витяг з протоколу постійної комісії з питань роботи житлово-комунального господарства, приватизації та використання майна територіальної громади міста від 28.11.2017 р. № 78</t>
  </si>
  <si>
    <t>площа прилеглої території до пішохідних та велосипедних доріжок в парку ім. М.Чекмана , на якій потрібно провести роботи з благоустрою</t>
  </si>
  <si>
    <t>площа прилеглої території до пішохідних та велосипедних доріжок в парку ім. М.Чекмана , на якій планується провести роботи з благоустрою</t>
  </si>
  <si>
    <t xml:space="preserve"> "Правила складання паспортів бюджетних програм місцевих бюджетів та звітів про їх виконання (із змінами, внесеними згідно з Наказом Міністерства фінансів № 860 від 30.09.2016), рішення сесії Хмельницької міської ради від 29.12.2016 р. № 12 "Про бюджет міста Хмельницького на 2017 рік", рішення сесії Хмельницької міської ради від 22.03.2017 р. № 2 "Про внесення змін до бюджету міста Хмельницького на 2017 рік", рішення сесії Хмельницької міської ради від 12.07.2017 р. № 3 "Про внесення змін до бюджету міста Хмельницького на 2017 рік", Програма утримання та розвитку житлово-комунального господарства та благоустрою м.Хмельницького на 2017-2020 роки, витяг з протоколу № 56 від 09.08.2017 року та витяг з протоколу №62 від 28.09.2017 року засідання постійної комісії з питань планування, бюджету фінансів та децентралізації, рішення сесії Хмельницької міської ради від 25.10.2017 р. № 1 "Про внесення змін до бюджету міста Хмельницького на 2017 рік", витяг з протоколу постійної комісії з питань роботи житлово-комунального господарства, приватизації та використання майна територіальної громади міста від 07.11.2017 р. № 75, витяг з протоколу засідання постійної комісії з питань планування, бюджету фінансів та децентралізації від 07.11.2017 року № 65, витяг з протоколу засідання постійної комісії з питань планування, бюджету фінансів та децентралізації від 28.11.2017 року № 70, витяг з протоколу постійної комісії з питань роботи житлово-комунального господарства, приватизації та використання майна територіальної громади міста від 28.11.2017 р. № 78</t>
  </si>
  <si>
    <t>рішення сесії Хмельницької міської ради  від 29.12.2016 р. № 12 "Про бюджет міста Хмельницького на 2017 рік", рішення сесії Хмельницької міської ради від 22.03.2017 р. № 2 "Про внесення змін до бюджету міста Хмельницького на 2017 рік", рішення сесії Хмельницької міської ради від 12.07.2017 р. № 3 "Про внесення змін до бюджету міста Хмельницького на 2017 рік", Програма утримання та розвитку житлово-комунального господарства та благоустрою м. Хмельницького на 2017-2020 роки, витяг з протоколу № 56 від 09.08.2017 року засідання постійної комісії з питань планування, бюджету фінансів та децентралізації, рішення сесії Хмельницької міської ради від 25.10.2017 р. № 1 "Про внесення змін до бюджету міста Хмельницького на 2017 рік", витяг з протоколу постійної комісії з питань роботи житлово-комунального господарства, приватизації та використання майна територіальної громади міста від 07.11.2017 р. № 75, витяг з протоколу засідання постійної комісії з питань планування, бюджету фінансів та децентралізації від 07.11.2017 року № 65, витяг з протоколу засідання постійної комісії з питань планування, бюджету фінансів та децентралізації від 28.11.2017 року № 70, витяг з протоколу постійної комісії з питань роботи житлово-комунального господарства, приватизації та використання майна територіальної громади міста від 28.11.2017 р. № 78</t>
  </si>
  <si>
    <t xml:space="preserve">площа паркану, що необхідно улаштувати </t>
  </si>
  <si>
    <t>середні витрати на влаштування 1 зупинки, поручня</t>
  </si>
  <si>
    <t xml:space="preserve">питома вага кількості зупинок, поручнів, які планується влаштувати до кількості, що необхідно влаштувати </t>
  </si>
  <si>
    <t>пртяжність поручнів, що плануєтьcя улаштувати</t>
  </si>
  <si>
    <t>пртяжність поручнів, що необхідно улаштувати</t>
  </si>
  <si>
    <t>середні витрати на влаштування 1 м поручня</t>
  </si>
  <si>
    <t>питома вага протяжності поручнів, що планується влаштувати до кількості, що необхідно влаштувати</t>
  </si>
  <si>
    <t>кількість оглядових колодязів, що планується прочистити</t>
  </si>
  <si>
    <t>середні витрати на прочищення 1 колодязя</t>
  </si>
  <si>
    <t>питома вага кількості колодязів, що планується прочистити до кількості колодязів, що необхідно прочистити</t>
  </si>
  <si>
    <t>кількість оглядових колодязів, що необхідно прочистити</t>
  </si>
  <si>
    <t>Начальник управління житлово-комунального господарства</t>
  </si>
  <si>
    <t>11.12.2017 р. № 288/72/ОД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</si>
</sst>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"/>
    <numFmt numFmtId="185" formatCode="0.0"/>
    <numFmt numFmtId="186" formatCode="0.000"/>
    <numFmt numFmtId="187" formatCode="0.0000"/>
    <numFmt numFmtId="188" formatCode="#,##0.000"/>
    <numFmt numFmtId="189" formatCode="#,##0.00&quot;₴&quot;"/>
    <numFmt numFmtId="190" formatCode="#,##0.000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0000"/>
    <numFmt numFmtId="197" formatCode="#,##0.0000000"/>
    <numFmt numFmtId="198" formatCode="#,##0.00000000"/>
  </numFmts>
  <fonts count="4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1"/>
      <family val="0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0"/>
      <name val="Arial Cyr"/>
      <family val="0"/>
    </font>
    <font>
      <sz val="10"/>
      <color indexed="8"/>
      <name val="Times New Roman"/>
      <family val="1"/>
    </font>
    <font>
      <u val="single"/>
      <sz val="10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2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11"/>
      <name val="Times New Roman"/>
      <family val="1"/>
    </font>
    <font>
      <sz val="12"/>
      <color indexed="9"/>
      <name val="Times New Roman"/>
      <family val="1"/>
    </font>
    <font>
      <sz val="11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12"/>
      <name val="Times New Roman"/>
      <family val="1"/>
    </font>
    <font>
      <b/>
      <sz val="8"/>
      <name val="Arial"/>
      <family val="2"/>
    </font>
    <font>
      <sz val="8"/>
      <color indexed="9"/>
      <name val="Arial"/>
      <family val="2"/>
    </font>
    <font>
      <sz val="11.5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8"/>
      <color theme="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Border="0" applyProtection="0">
      <alignment/>
    </xf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8" borderId="0" applyNumberFormat="0" applyBorder="0" applyAlignment="0" applyProtection="0"/>
    <xf numFmtId="0" fontId="5" fillId="3" borderId="1" applyNumberFormat="0" applyAlignment="0" applyProtection="0"/>
    <xf numFmtId="0" fontId="6" fillId="5" borderId="2" applyNumberFormat="0" applyAlignment="0" applyProtection="0"/>
    <xf numFmtId="0" fontId="7" fillId="5" borderId="1" applyNumberFormat="0" applyAlignment="0" applyProtection="0"/>
    <xf numFmtId="0" fontId="31" fillId="0" borderId="0" applyNumberFormat="0" applyFill="0" applyBorder="0" applyAlignment="0" applyProtection="0"/>
    <xf numFmtId="182" fontId="1" fillId="0" borderId="0" applyFill="0" applyBorder="0" applyAlignment="0" applyProtection="0"/>
    <xf numFmtId="180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0" borderId="6" applyNumberFormat="0" applyFill="0" applyAlignment="0" applyProtection="0"/>
    <xf numFmtId="0" fontId="11" fillId="11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 horizontal="left"/>
      <protection/>
    </xf>
    <xf numFmtId="0" fontId="24" fillId="0" borderId="0">
      <alignment/>
      <protection/>
    </xf>
    <xf numFmtId="0" fontId="32" fillId="0" borderId="0" applyNumberFormat="0" applyFill="0" applyBorder="0" applyAlignment="0" applyProtection="0"/>
    <xf numFmtId="0" fontId="14" fillId="15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1" fillId="0" borderId="0" applyFill="0" applyBorder="0" applyAlignment="0" applyProtection="0"/>
    <xf numFmtId="18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28">
    <xf numFmtId="0" fontId="0" fillId="0" borderId="0" xfId="0" applyAlignment="1">
      <alignment horizontal="left"/>
    </xf>
    <xf numFmtId="0" fontId="25" fillId="0" borderId="0" xfId="57" applyFont="1" applyAlignment="1">
      <alignment/>
      <protection/>
    </xf>
    <xf numFmtId="0" fontId="24" fillId="0" borderId="0" xfId="57">
      <alignment/>
      <protection/>
    </xf>
    <xf numFmtId="0" fontId="18" fillId="0" borderId="0" xfId="57" applyFont="1" applyAlignment="1">
      <alignment/>
      <protection/>
    </xf>
    <xf numFmtId="0" fontId="20" fillId="0" borderId="0" xfId="57" applyFont="1" applyAlignment="1">
      <alignment/>
      <protection/>
    </xf>
    <xf numFmtId="0" fontId="24" fillId="0" borderId="0" xfId="57" applyBorder="1">
      <alignment/>
      <protection/>
    </xf>
    <xf numFmtId="0" fontId="19" fillId="0" borderId="10" xfId="57" applyFont="1" applyBorder="1" applyAlignment="1">
      <alignment/>
      <protection/>
    </xf>
    <xf numFmtId="0" fontId="18" fillId="0" borderId="0" xfId="57" applyFont="1" applyBorder="1" applyAlignment="1">
      <alignment/>
      <protection/>
    </xf>
    <xf numFmtId="0" fontId="21" fillId="0" borderId="0" xfId="57" applyFont="1" applyBorder="1" applyAlignment="1">
      <alignment vertical="center"/>
      <protection/>
    </xf>
    <xf numFmtId="0" fontId="18" fillId="0" borderId="10" xfId="57" applyFont="1" applyBorder="1" applyAlignment="1">
      <alignment/>
      <protection/>
    </xf>
    <xf numFmtId="0" fontId="18" fillId="0" borderId="0" xfId="57" applyFont="1" applyAlignment="1">
      <alignment horizontal="center"/>
      <protection/>
    </xf>
    <xf numFmtId="0" fontId="20" fillId="0" borderId="11" xfId="57" applyFont="1" applyBorder="1" applyAlignment="1">
      <alignment/>
      <protection/>
    </xf>
    <xf numFmtId="0" fontId="18" fillId="0" borderId="0" xfId="57" applyFont="1" applyAlignment="1">
      <alignment horizontal="center" vertical="top"/>
      <protection/>
    </xf>
    <xf numFmtId="0" fontId="18" fillId="0" borderId="0" xfId="57" applyFont="1" applyBorder="1" applyAlignment="1">
      <alignment vertical="top"/>
      <protection/>
    </xf>
    <xf numFmtId="0" fontId="18" fillId="0" borderId="11" xfId="57" applyFont="1" applyBorder="1" applyAlignment="1">
      <alignment/>
      <protection/>
    </xf>
    <xf numFmtId="0" fontId="18" fillId="0" borderId="10" xfId="57" applyFont="1" applyBorder="1" applyAlignment="1">
      <alignment vertical="top"/>
      <protection/>
    </xf>
    <xf numFmtId="4" fontId="23" fillId="0" borderId="0" xfId="57" applyNumberFormat="1" applyFont="1" applyBorder="1" applyAlignment="1">
      <alignment vertical="center"/>
      <protection/>
    </xf>
    <xf numFmtId="2" fontId="23" fillId="0" borderId="0" xfId="57" applyNumberFormat="1" applyFont="1" applyBorder="1" applyAlignment="1">
      <alignment vertical="center"/>
      <protection/>
    </xf>
    <xf numFmtId="0" fontId="18" fillId="0" borderId="0" xfId="57" applyFont="1" applyAlignment="1">
      <alignment horizontal="center" vertical="justify"/>
      <protection/>
    </xf>
    <xf numFmtId="0" fontId="18" fillId="0" borderId="0" xfId="57" applyFont="1">
      <alignment/>
      <protection/>
    </xf>
    <xf numFmtId="0" fontId="18" fillId="0" borderId="0" xfId="56" applyFont="1" applyAlignment="1">
      <alignment horizontal="center"/>
      <protection/>
    </xf>
    <xf numFmtId="0" fontId="18" fillId="0" borderId="0" xfId="56" applyFont="1" applyAlignment="1">
      <alignment/>
      <protection/>
    </xf>
    <xf numFmtId="0" fontId="18" fillId="0" borderId="0" xfId="56" applyFont="1" applyBorder="1" applyAlignment="1">
      <alignment/>
      <protection/>
    </xf>
    <xf numFmtId="14" fontId="18" fillId="0" borderId="0" xfId="57" applyNumberFormat="1" applyFont="1" applyFill="1" applyAlignment="1">
      <alignment horizontal="center"/>
      <protection/>
    </xf>
    <xf numFmtId="1" fontId="18" fillId="0" borderId="0" xfId="56" applyNumberFormat="1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horizontal="left" vertical="center" wrapText="1"/>
      <protection/>
    </xf>
    <xf numFmtId="0" fontId="18" fillId="0" borderId="0" xfId="56" applyFont="1" applyBorder="1" applyAlignment="1">
      <alignment horizontal="center"/>
      <protection/>
    </xf>
    <xf numFmtId="0" fontId="18" fillId="0" borderId="12" xfId="57" applyFont="1" applyBorder="1">
      <alignment/>
      <protection/>
    </xf>
    <xf numFmtId="0" fontId="18" fillId="0" borderId="0" xfId="57" applyFont="1" applyBorder="1">
      <alignment/>
      <protection/>
    </xf>
    <xf numFmtId="1" fontId="18" fillId="0" borderId="13" xfId="56" applyNumberFormat="1" applyFont="1" applyBorder="1" applyAlignment="1">
      <alignment horizontal="center" vertical="center" wrapText="1"/>
      <protection/>
    </xf>
    <xf numFmtId="0" fontId="18" fillId="0" borderId="13" xfId="56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2" fillId="0" borderId="13" xfId="56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center"/>
    </xf>
    <xf numFmtId="0" fontId="26" fillId="0" borderId="12" xfId="57" applyFont="1" applyBorder="1">
      <alignment/>
      <protection/>
    </xf>
    <xf numFmtId="14" fontId="18" fillId="0" borderId="12" xfId="57" applyNumberFormat="1" applyFont="1" applyFill="1" applyBorder="1" applyAlignment="1">
      <alignment horizontal="left"/>
      <protection/>
    </xf>
    <xf numFmtId="0" fontId="0" fillId="0" borderId="0" xfId="0" applyBorder="1" applyAlignment="1">
      <alignment horizontal="left"/>
    </xf>
    <xf numFmtId="0" fontId="27" fillId="0" borderId="0" xfId="57" applyFont="1" applyAlignment="1">
      <alignment horizontal="right"/>
      <protection/>
    </xf>
    <xf numFmtId="0" fontId="27" fillId="0" borderId="13" xfId="56" applyFont="1" applyBorder="1" applyAlignment="1">
      <alignment horizontal="center" vertical="center" wrapText="1"/>
      <protection/>
    </xf>
    <xf numFmtId="0" fontId="18" fillId="0" borderId="0" xfId="56" applyFont="1" applyBorder="1" applyAlignment="1">
      <alignment horizontal="center" vertical="center" wrapText="1"/>
      <protection/>
    </xf>
    <xf numFmtId="14" fontId="18" fillId="0" borderId="12" xfId="57" applyNumberFormat="1" applyFont="1" applyFill="1" applyBorder="1" applyAlignment="1">
      <alignment horizontal="center"/>
      <protection/>
    </xf>
    <xf numFmtId="0" fontId="0" fillId="0" borderId="13" xfId="0" applyBorder="1" applyAlignment="1">
      <alignment horizontal="left"/>
    </xf>
    <xf numFmtId="0" fontId="27" fillId="0" borderId="10" xfId="57" applyFont="1" applyBorder="1" applyAlignment="1">
      <alignment/>
      <protection/>
    </xf>
    <xf numFmtId="0" fontId="27" fillId="0" borderId="1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13" xfId="0" applyFont="1" applyBorder="1" applyAlignment="1">
      <alignment horizontal="left"/>
    </xf>
    <xf numFmtId="0" fontId="18" fillId="0" borderId="13" xfId="0" applyFont="1" applyBorder="1" applyAlignment="1">
      <alignment horizontal="left" wrapText="1"/>
    </xf>
    <xf numFmtId="0" fontId="34" fillId="0" borderId="13" xfId="56" applyFont="1" applyBorder="1" applyAlignment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0" fontId="35" fillId="0" borderId="0" xfId="0" applyFont="1" applyAlignment="1">
      <alignment horizontal="left"/>
    </xf>
    <xf numFmtId="0" fontId="0" fillId="0" borderId="12" xfId="0" applyBorder="1" applyAlignment="1">
      <alignment horizontal="left"/>
    </xf>
    <xf numFmtId="0" fontId="29" fillId="0" borderId="0" xfId="0" applyFont="1" applyAlignment="1">
      <alignment/>
    </xf>
    <xf numFmtId="0" fontId="27" fillId="0" borderId="13" xfId="0" applyFont="1" applyBorder="1" applyAlignment="1">
      <alignment horizontal="center" vertical="center" wrapText="1"/>
    </xf>
    <xf numFmtId="0" fontId="18" fillId="0" borderId="0" xfId="57" applyFont="1" applyFill="1" applyBorder="1" applyAlignment="1" applyProtection="1">
      <alignment vertical="center" wrapText="1"/>
      <protection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3" xfId="0" applyFont="1" applyBorder="1" applyAlignment="1">
      <alignment/>
    </xf>
    <xf numFmtId="0" fontId="18" fillId="0" borderId="13" xfId="56" applyFont="1" applyBorder="1" applyAlignment="1">
      <alignment horizontal="center" vertical="justify" wrapText="1"/>
      <protection/>
    </xf>
    <xf numFmtId="0" fontId="18" fillId="0" borderId="17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33" fillId="0" borderId="0" xfId="0" applyFont="1" applyBorder="1" applyAlignment="1">
      <alignment/>
    </xf>
    <xf numFmtId="0" fontId="18" fillId="0" borderId="12" xfId="56" applyFont="1" applyBorder="1" applyAlignment="1">
      <alignment/>
      <protection/>
    </xf>
    <xf numFmtId="0" fontId="18" fillId="0" borderId="0" xfId="0" applyFont="1" applyBorder="1" applyAlignment="1">
      <alignment horizontal="left"/>
    </xf>
    <xf numFmtId="4" fontId="18" fillId="0" borderId="0" xfId="57" applyNumberFormat="1" applyFont="1" applyFill="1" applyBorder="1" applyAlignment="1">
      <alignment horizontal="center" vertical="top"/>
      <protection/>
    </xf>
    <xf numFmtId="2" fontId="18" fillId="0" borderId="0" xfId="0" applyNumberFormat="1" applyFont="1" applyBorder="1" applyAlignment="1">
      <alignment horizontal="center" vertical="center" wrapText="1"/>
    </xf>
    <xf numFmtId="0" fontId="36" fillId="0" borderId="11" xfId="57" applyFont="1" applyBorder="1" applyAlignment="1">
      <alignment horizontal="center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49" fontId="18" fillId="0" borderId="11" xfId="57" applyNumberFormat="1" applyFont="1" applyBorder="1" applyAlignment="1">
      <alignment horizontal="center"/>
      <protection/>
    </xf>
    <xf numFmtId="49" fontId="18" fillId="0" borderId="13" xfId="56" applyNumberFormat="1" applyFont="1" applyBorder="1" applyAlignment="1">
      <alignment horizontal="center" vertical="center" wrapText="1"/>
      <protection/>
    </xf>
    <xf numFmtId="49" fontId="18" fillId="0" borderId="11" xfId="57" applyNumberFormat="1" applyFont="1" applyBorder="1" applyAlignment="1">
      <alignment horizontal="center" vertical="center"/>
      <protection/>
    </xf>
    <xf numFmtId="49" fontId="18" fillId="0" borderId="12" xfId="56" applyNumberFormat="1" applyFont="1" applyBorder="1" applyAlignment="1">
      <alignment horizontal="center" vertical="center" wrapText="1"/>
      <protection/>
    </xf>
    <xf numFmtId="0" fontId="18" fillId="0" borderId="18" xfId="56" applyFont="1" applyBorder="1" applyAlignment="1">
      <alignment horizontal="center" vertical="center" wrapText="1"/>
      <protection/>
    </xf>
    <xf numFmtId="49" fontId="18" fillId="0" borderId="0" xfId="57" applyNumberFormat="1" applyFont="1" applyBorder="1" applyAlignment="1">
      <alignment horizontal="center" vertical="center"/>
      <protection/>
    </xf>
    <xf numFmtId="0" fontId="18" fillId="0" borderId="0" xfId="0" applyFont="1" applyBorder="1" applyAlignment="1">
      <alignment/>
    </xf>
    <xf numFmtId="0" fontId="18" fillId="5" borderId="0" xfId="57" applyFont="1" applyFill="1" applyBorder="1">
      <alignment/>
      <protection/>
    </xf>
    <xf numFmtId="0" fontId="0" fillId="5" borderId="0" xfId="0" applyFill="1" applyBorder="1" applyAlignment="1">
      <alignment horizontal="left"/>
    </xf>
    <xf numFmtId="0" fontId="18" fillId="5" borderId="0" xfId="56" applyFont="1" applyFill="1" applyBorder="1" applyAlignment="1">
      <alignment/>
      <protection/>
    </xf>
    <xf numFmtId="0" fontId="0" fillId="0" borderId="13" xfId="0" applyFont="1" applyBorder="1" applyAlignment="1">
      <alignment horizontal="left"/>
    </xf>
    <xf numFmtId="0" fontId="42" fillId="0" borderId="0" xfId="0" applyFont="1" applyAlignment="1">
      <alignment horizontal="left"/>
    </xf>
    <xf numFmtId="4" fontId="36" fillId="0" borderId="0" xfId="57" applyNumberFormat="1" applyFont="1" applyFill="1" applyBorder="1" applyAlignment="1">
      <alignment horizontal="center" vertical="top"/>
      <protection/>
    </xf>
    <xf numFmtId="0" fontId="0" fillId="0" borderId="0" xfId="0" applyFont="1" applyAlignment="1">
      <alignment horizontal="left"/>
    </xf>
    <xf numFmtId="4" fontId="36" fillId="0" borderId="0" xfId="57" applyNumberFormat="1" applyFont="1" applyFill="1" applyBorder="1" applyAlignment="1">
      <alignment horizontal="center" vertical="top"/>
      <protection/>
    </xf>
    <xf numFmtId="4" fontId="36" fillId="0" borderId="0" xfId="57" applyNumberFormat="1" applyFont="1" applyFill="1" applyBorder="1" applyAlignment="1">
      <alignment vertical="top"/>
      <protection/>
    </xf>
    <xf numFmtId="0" fontId="42" fillId="5" borderId="0" xfId="0" applyFont="1" applyFill="1" applyAlignment="1">
      <alignment horizontal="left"/>
    </xf>
    <xf numFmtId="4" fontId="44" fillId="0" borderId="0" xfId="57" applyNumberFormat="1" applyFont="1" applyFill="1" applyBorder="1" applyAlignment="1">
      <alignment horizontal="center" vertical="top"/>
      <protection/>
    </xf>
    <xf numFmtId="0" fontId="22" fillId="0" borderId="0" xfId="56" applyFont="1" applyBorder="1" applyAlignment="1">
      <alignment horizontal="center" vertical="center" wrapText="1"/>
      <protection/>
    </xf>
    <xf numFmtId="188" fontId="18" fillId="0" borderId="0" xfId="57" applyNumberFormat="1" applyFont="1" applyFill="1" applyBorder="1" applyAlignment="1">
      <alignment horizontal="center" vertical="top"/>
      <protection/>
    </xf>
    <xf numFmtId="4" fontId="36" fillId="0" borderId="0" xfId="57" applyNumberFormat="1" applyFont="1" applyFill="1" applyBorder="1" applyAlignment="1">
      <alignment horizontal="center" vertical="top"/>
      <protection/>
    </xf>
    <xf numFmtId="0" fontId="18" fillId="0" borderId="0" xfId="56" applyFont="1" applyBorder="1" applyAlignment="1">
      <alignment horizontal="center" wrapText="1"/>
      <protection/>
    </xf>
    <xf numFmtId="0" fontId="18" fillId="0" borderId="13" xfId="56" applyFont="1" applyBorder="1" applyAlignment="1">
      <alignment horizontal="center" wrapText="1"/>
      <protection/>
    </xf>
    <xf numFmtId="0" fontId="18" fillId="0" borderId="0" xfId="0" applyFont="1" applyBorder="1" applyAlignment="1">
      <alignment wrapText="1"/>
    </xf>
    <xf numFmtId="4" fontId="36" fillId="0" borderId="0" xfId="57" applyNumberFormat="1" applyFont="1" applyFill="1" applyBorder="1" applyAlignment="1">
      <alignment horizontal="center"/>
      <protection/>
    </xf>
    <xf numFmtId="0" fontId="0" fillId="0" borderId="0" xfId="0" applyAlignment="1">
      <alignment horizontal="left" vertical="center"/>
    </xf>
    <xf numFmtId="0" fontId="18" fillId="0" borderId="0" xfId="57" applyNumberFormat="1" applyFont="1" applyFill="1" applyBorder="1" applyAlignment="1" applyProtection="1">
      <alignment vertical="center" wrapText="1"/>
      <protection/>
    </xf>
    <xf numFmtId="0" fontId="18" fillId="0" borderId="0" xfId="57" applyFont="1" applyFill="1" applyBorder="1" applyAlignment="1">
      <alignment vertical="top" wrapText="1"/>
      <protection/>
    </xf>
    <xf numFmtId="49" fontId="18" fillId="0" borderId="19" xfId="57" applyNumberFormat="1" applyFont="1" applyBorder="1" applyAlignment="1">
      <alignment horizontal="center"/>
      <protection/>
    </xf>
    <xf numFmtId="189" fontId="18" fillId="0" borderId="0" xfId="0" applyNumberFormat="1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horizontal="center" vertical="center" wrapText="1"/>
    </xf>
    <xf numFmtId="188" fontId="42" fillId="0" borderId="0" xfId="0" applyNumberFormat="1" applyFont="1" applyAlignment="1">
      <alignment horizontal="left"/>
    </xf>
    <xf numFmtId="0" fontId="42" fillId="5" borderId="0" xfId="0" applyFont="1" applyFill="1" applyAlignment="1">
      <alignment horizontal="left"/>
    </xf>
    <xf numFmtId="2" fontId="42" fillId="5" borderId="0" xfId="0" applyNumberFormat="1" applyFont="1" applyFill="1" applyAlignment="1">
      <alignment horizontal="left"/>
    </xf>
    <xf numFmtId="188" fontId="0" fillId="0" borderId="0" xfId="0" applyNumberFormat="1" applyAlignment="1">
      <alignment horizontal="left"/>
    </xf>
    <xf numFmtId="0" fontId="36" fillId="0" borderId="0" xfId="0" applyFont="1" applyBorder="1" applyAlignment="1">
      <alignment vertical="center" wrapText="1"/>
    </xf>
    <xf numFmtId="2" fontId="36" fillId="0" borderId="0" xfId="0" applyNumberFormat="1" applyFont="1" applyBorder="1" applyAlignment="1">
      <alignment vertical="center" wrapText="1"/>
    </xf>
    <xf numFmtId="186" fontId="36" fillId="0" borderId="0" xfId="0" applyNumberFormat="1" applyFont="1" applyBorder="1" applyAlignment="1">
      <alignment vertical="center" wrapText="1"/>
    </xf>
    <xf numFmtId="3" fontId="18" fillId="0" borderId="0" xfId="56" applyNumberFormat="1" applyFont="1" applyFill="1" applyBorder="1" applyAlignment="1">
      <alignment horizontal="center" vertical="center" wrapText="1"/>
      <protection/>
    </xf>
    <xf numFmtId="2" fontId="18" fillId="0" borderId="0" xfId="0" applyNumberFormat="1" applyFont="1" applyBorder="1" applyAlignment="1">
      <alignment horizontal="left" vertical="center" wrapText="1"/>
    </xf>
    <xf numFmtId="0" fontId="42" fillId="0" borderId="0" xfId="0" applyFont="1" applyAlignment="1">
      <alignment horizontal="left"/>
    </xf>
    <xf numFmtId="0" fontId="36" fillId="5" borderId="0" xfId="0" applyFont="1" applyFill="1" applyBorder="1" applyAlignment="1">
      <alignment wrapText="1"/>
    </xf>
    <xf numFmtId="0" fontId="42" fillId="5" borderId="0" xfId="0" applyFont="1" applyFill="1" applyAlignment="1">
      <alignment horizontal="left"/>
    </xf>
    <xf numFmtId="0" fontId="36" fillId="5" borderId="0" xfId="0" applyFont="1" applyFill="1" applyBorder="1" applyAlignment="1">
      <alignment vertical="center" wrapText="1"/>
    </xf>
    <xf numFmtId="185" fontId="36" fillId="5" borderId="0" xfId="0" applyNumberFormat="1" applyFont="1" applyFill="1" applyBorder="1" applyAlignment="1">
      <alignment vertical="center" wrapText="1"/>
    </xf>
    <xf numFmtId="4" fontId="18" fillId="0" borderId="0" xfId="0" applyNumberFormat="1" applyFont="1" applyBorder="1" applyAlignment="1">
      <alignment vertical="center" wrapText="1"/>
    </xf>
    <xf numFmtId="4" fontId="18" fillId="0" borderId="17" xfId="56" applyNumberFormat="1" applyFont="1" applyFill="1" applyBorder="1" applyAlignment="1">
      <alignment vertical="center" wrapText="1"/>
      <protection/>
    </xf>
    <xf numFmtId="4" fontId="18" fillId="0" borderId="0" xfId="56" applyNumberFormat="1" applyFont="1" applyFill="1" applyBorder="1" applyAlignment="1">
      <alignment vertical="center" wrapText="1"/>
      <protection/>
    </xf>
    <xf numFmtId="3" fontId="18" fillId="0" borderId="17" xfId="56" applyNumberFormat="1" applyFont="1" applyFill="1" applyBorder="1" applyAlignment="1">
      <alignment vertical="center" wrapText="1"/>
      <protection/>
    </xf>
    <xf numFmtId="3" fontId="18" fillId="0" borderId="0" xfId="56" applyNumberFormat="1" applyFont="1" applyFill="1" applyBorder="1" applyAlignment="1">
      <alignment vertical="center" wrapText="1"/>
      <protection/>
    </xf>
    <xf numFmtId="188" fontId="18" fillId="0" borderId="0" xfId="56" applyNumberFormat="1" applyFont="1" applyFill="1" applyBorder="1" applyAlignment="1">
      <alignment horizontal="center" vertical="center" wrapText="1"/>
      <protection/>
    </xf>
    <xf numFmtId="14" fontId="18" fillId="0" borderId="12" xfId="57" applyNumberFormat="1" applyFont="1" applyFill="1" applyBorder="1" applyAlignment="1">
      <alignment/>
      <protection/>
    </xf>
    <xf numFmtId="0" fontId="46" fillId="16" borderId="0" xfId="0" applyFont="1" applyFill="1" applyAlignment="1">
      <alignment horizontal="left"/>
    </xf>
    <xf numFmtId="4" fontId="19" fillId="5" borderId="0" xfId="0" applyNumberFormat="1" applyFont="1" applyFill="1" applyBorder="1" applyAlignment="1">
      <alignment vertical="center" wrapText="1"/>
    </xf>
    <xf numFmtId="0" fontId="0" fillId="5" borderId="0" xfId="0" applyFont="1" applyFill="1" applyAlignment="1">
      <alignment horizontal="left"/>
    </xf>
    <xf numFmtId="4" fontId="18" fillId="0" borderId="0" xfId="56" applyNumberFormat="1" applyFont="1" applyFill="1" applyBorder="1" applyAlignment="1">
      <alignment horizontal="center" vertical="center" wrapText="1"/>
      <protection/>
    </xf>
    <xf numFmtId="4" fontId="45" fillId="5" borderId="0" xfId="56" applyNumberFormat="1" applyFont="1" applyFill="1" applyBorder="1" applyAlignment="1">
      <alignment horizontal="center" vertical="center" wrapText="1"/>
      <protection/>
    </xf>
    <xf numFmtId="188" fontId="45" fillId="5" borderId="0" xfId="56" applyNumberFormat="1" applyFont="1" applyFill="1" applyBorder="1" applyAlignment="1">
      <alignment horizontal="center" vertical="center" wrapText="1"/>
      <protection/>
    </xf>
    <xf numFmtId="188" fontId="18" fillId="0" borderId="0" xfId="56" applyNumberFormat="1" applyFont="1" applyFill="1" applyBorder="1" applyAlignment="1">
      <alignment horizontal="center" vertical="center" wrapText="1"/>
      <protection/>
    </xf>
    <xf numFmtId="2" fontId="18" fillId="0" borderId="0" xfId="0" applyNumberFormat="1" applyFont="1" applyBorder="1" applyAlignment="1">
      <alignment horizontal="center" vertical="center" wrapText="1"/>
    </xf>
    <xf numFmtId="186" fontId="18" fillId="0" borderId="0" xfId="0" applyNumberFormat="1" applyFont="1" applyBorder="1" applyAlignment="1">
      <alignment horizontal="center" vertical="center" wrapText="1"/>
    </xf>
    <xf numFmtId="2" fontId="18" fillId="0" borderId="14" xfId="0" applyNumberFormat="1" applyFont="1" applyBorder="1" applyAlignment="1">
      <alignment horizontal="center" vertical="center" wrapText="1"/>
    </xf>
    <xf numFmtId="2" fontId="18" fillId="0" borderId="16" xfId="0" applyNumberFormat="1" applyFont="1" applyBorder="1" applyAlignment="1">
      <alignment horizontal="center" vertical="center" wrapText="1"/>
    </xf>
    <xf numFmtId="186" fontId="18" fillId="0" borderId="14" xfId="0" applyNumberFormat="1" applyFont="1" applyBorder="1" applyAlignment="1">
      <alignment horizontal="center" vertical="center" wrapText="1"/>
    </xf>
    <xf numFmtId="186" fontId="18" fillId="0" borderId="16" xfId="0" applyNumberFormat="1" applyFont="1" applyBorder="1" applyAlignment="1">
      <alignment horizontal="center" vertical="center" wrapText="1"/>
    </xf>
    <xf numFmtId="0" fontId="18" fillId="0" borderId="14" xfId="56" applyFont="1" applyFill="1" applyBorder="1" applyAlignment="1">
      <alignment horizontal="left" vertical="center" wrapText="1"/>
      <protection/>
    </xf>
    <xf numFmtId="0" fontId="18" fillId="0" borderId="15" xfId="56" applyFont="1" applyFill="1" applyBorder="1" applyAlignment="1">
      <alignment horizontal="left" vertical="center" wrapText="1"/>
      <protection/>
    </xf>
    <xf numFmtId="0" fontId="18" fillId="0" borderId="16" xfId="56" applyFont="1" applyFill="1" applyBorder="1" applyAlignment="1">
      <alignment horizontal="left" vertical="center" wrapText="1"/>
      <protection/>
    </xf>
    <xf numFmtId="0" fontId="18" fillId="0" borderId="14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56" applyFont="1" applyBorder="1" applyAlignment="1">
      <alignment horizontal="left" vertical="center" wrapText="1"/>
      <protection/>
    </xf>
    <xf numFmtId="0" fontId="18" fillId="0" borderId="13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3" fontId="18" fillId="0" borderId="0" xfId="56" applyNumberFormat="1" applyFont="1" applyFill="1" applyBorder="1" applyAlignment="1">
      <alignment horizontal="center" vertical="center" wrapText="1"/>
      <protection/>
    </xf>
    <xf numFmtId="0" fontId="18" fillId="0" borderId="0" xfId="57" applyNumberFormat="1" applyFont="1" applyFill="1" applyBorder="1" applyAlignment="1">
      <alignment horizontal="center" vertical="center"/>
      <protection/>
    </xf>
    <xf numFmtId="3" fontId="18" fillId="0" borderId="0" xfId="56" applyNumberFormat="1" applyFont="1" applyBorder="1" applyAlignment="1">
      <alignment horizontal="center" vertical="center" wrapText="1"/>
      <protection/>
    </xf>
    <xf numFmtId="188" fontId="0" fillId="0" borderId="0" xfId="0" applyNumberFormat="1" applyFill="1" applyBorder="1" applyAlignment="1">
      <alignment horizontal="left"/>
    </xf>
    <xf numFmtId="188" fontId="18" fillId="0" borderId="0" xfId="0" applyNumberFormat="1" applyFont="1" applyBorder="1" applyAlignment="1">
      <alignment horizontal="center" vertical="center"/>
    </xf>
    <xf numFmtId="188" fontId="18" fillId="0" borderId="0" xfId="0" applyNumberFormat="1" applyFont="1" applyBorder="1" applyAlignment="1">
      <alignment horizontal="center" vertical="center" wrapText="1"/>
    </xf>
    <xf numFmtId="188" fontId="0" fillId="0" borderId="0" xfId="0" applyNumberFormat="1" applyBorder="1" applyAlignment="1">
      <alignment horizontal="left"/>
    </xf>
    <xf numFmtId="3" fontId="18" fillId="0" borderId="14" xfId="56" applyNumberFormat="1" applyFont="1" applyFill="1" applyBorder="1" applyAlignment="1">
      <alignment horizontal="center" vertical="center" wrapText="1"/>
      <protection/>
    </xf>
    <xf numFmtId="3" fontId="18" fillId="0" borderId="16" xfId="56" applyNumberFormat="1" applyFont="1" applyFill="1" applyBorder="1" applyAlignment="1">
      <alignment horizontal="center" vertical="center" wrapText="1"/>
      <protection/>
    </xf>
    <xf numFmtId="0" fontId="18" fillId="0" borderId="13" xfId="57" applyNumberFormat="1" applyFont="1" applyFill="1" applyBorder="1" applyAlignment="1">
      <alignment horizontal="center" vertical="center"/>
      <protection/>
    </xf>
    <xf numFmtId="0" fontId="18" fillId="0" borderId="14" xfId="57" applyNumberFormat="1" applyFont="1" applyFill="1" applyBorder="1" applyAlignment="1">
      <alignment horizontal="center" vertical="center"/>
      <protection/>
    </xf>
    <xf numFmtId="0" fontId="18" fillId="0" borderId="16" xfId="57" applyNumberFormat="1" applyFont="1" applyFill="1" applyBorder="1" applyAlignment="1">
      <alignment horizontal="center" vertical="center"/>
      <protection/>
    </xf>
    <xf numFmtId="188" fontId="18" fillId="0" borderId="14" xfId="56" applyNumberFormat="1" applyFont="1" applyFill="1" applyBorder="1" applyAlignment="1">
      <alignment horizontal="center" vertical="center" wrapText="1"/>
      <protection/>
    </xf>
    <xf numFmtId="188" fontId="18" fillId="0" borderId="16" xfId="56" applyNumberFormat="1" applyFont="1" applyFill="1" applyBorder="1" applyAlignment="1">
      <alignment horizontal="center" vertical="center" wrapText="1"/>
      <protection/>
    </xf>
    <xf numFmtId="3" fontId="18" fillId="0" borderId="13" xfId="56" applyNumberFormat="1" applyFont="1" applyBorder="1" applyAlignment="1">
      <alignment horizontal="center" vertical="center" wrapText="1"/>
      <protection/>
    </xf>
    <xf numFmtId="0" fontId="18" fillId="0" borderId="14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6" xfId="0" applyFont="1" applyBorder="1" applyAlignment="1">
      <alignment vertical="center" wrapText="1"/>
    </xf>
    <xf numFmtId="4" fontId="18" fillId="0" borderId="14" xfId="56" applyNumberFormat="1" applyFont="1" applyFill="1" applyBorder="1" applyAlignment="1">
      <alignment horizontal="center" vertical="center" wrapText="1"/>
      <protection/>
    </xf>
    <xf numFmtId="4" fontId="18" fillId="0" borderId="16" xfId="56" applyNumberFormat="1" applyFont="1" applyFill="1" applyBorder="1" applyAlignment="1">
      <alignment horizontal="center" vertical="center" wrapText="1"/>
      <protection/>
    </xf>
    <xf numFmtId="0" fontId="18" fillId="0" borderId="14" xfId="56" applyFont="1" applyBorder="1" applyAlignment="1">
      <alignment horizontal="left" vertical="center" wrapText="1"/>
      <protection/>
    </xf>
    <xf numFmtId="0" fontId="18" fillId="0" borderId="15" xfId="56" applyFont="1" applyBorder="1" applyAlignment="1">
      <alignment horizontal="left" vertical="center" wrapText="1"/>
      <protection/>
    </xf>
    <xf numFmtId="0" fontId="18" fillId="0" borderId="16" xfId="56" applyFont="1" applyBorder="1" applyAlignment="1">
      <alignment horizontal="left" vertical="center" wrapText="1"/>
      <protection/>
    </xf>
    <xf numFmtId="0" fontId="18" fillId="5" borderId="1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3" fontId="18" fillId="0" borderId="13" xfId="56" applyNumberFormat="1" applyFont="1" applyFill="1" applyBorder="1" applyAlignment="1">
      <alignment horizontal="center" vertical="center" wrapText="1"/>
      <protection/>
    </xf>
    <xf numFmtId="2" fontId="18" fillId="0" borderId="13" xfId="0" applyNumberFormat="1" applyFont="1" applyBorder="1" applyAlignment="1">
      <alignment horizontal="center" vertical="center"/>
    </xf>
    <xf numFmtId="186" fontId="18" fillId="0" borderId="13" xfId="0" applyNumberFormat="1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188" fontId="18" fillId="0" borderId="13" xfId="56" applyNumberFormat="1" applyFont="1" applyFill="1" applyBorder="1" applyAlignment="1">
      <alignment horizontal="center" vertical="center" wrapText="1"/>
      <protection/>
    </xf>
    <xf numFmtId="188" fontId="0" fillId="0" borderId="13" xfId="0" applyNumberFormat="1" applyFont="1" applyFill="1" applyBorder="1" applyAlignment="1">
      <alignment horizontal="left"/>
    </xf>
    <xf numFmtId="185" fontId="18" fillId="0" borderId="13" xfId="0" applyNumberFormat="1" applyFont="1" applyBorder="1" applyAlignment="1">
      <alignment horizontal="center" vertical="center" wrapText="1"/>
    </xf>
    <xf numFmtId="0" fontId="22" fillId="0" borderId="14" xfId="56" applyFont="1" applyBorder="1" applyAlignment="1">
      <alignment horizontal="left" vertical="center" wrapText="1"/>
      <protection/>
    </xf>
    <xf numFmtId="0" fontId="22" fillId="0" borderId="15" xfId="56" applyFont="1" applyBorder="1" applyAlignment="1">
      <alignment horizontal="left" vertical="center" wrapText="1"/>
      <protection/>
    </xf>
    <xf numFmtId="0" fontId="22" fillId="0" borderId="16" xfId="56" applyFont="1" applyBorder="1" applyAlignment="1">
      <alignment horizontal="left" vertical="center" wrapText="1"/>
      <protection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/>
    </xf>
    <xf numFmtId="4" fontId="18" fillId="0" borderId="13" xfId="0" applyNumberFormat="1" applyFont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left"/>
    </xf>
    <xf numFmtId="188" fontId="18" fillId="0" borderId="13" xfId="56" applyNumberFormat="1" applyFont="1" applyBorder="1" applyAlignment="1">
      <alignment horizontal="center" vertical="center" wrapText="1"/>
      <protection/>
    </xf>
    <xf numFmtId="0" fontId="18" fillId="0" borderId="1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188" fontId="18" fillId="0" borderId="13" xfId="0" applyNumberFormat="1" applyFont="1" applyBorder="1" applyAlignment="1">
      <alignment horizontal="center" vertical="center" wrapText="1"/>
    </xf>
    <xf numFmtId="188" fontId="0" fillId="0" borderId="13" xfId="0" applyNumberFormat="1" applyBorder="1" applyAlignment="1">
      <alignment horizontal="left"/>
    </xf>
    <xf numFmtId="0" fontId="18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vertical="center" wrapText="1"/>
    </xf>
    <xf numFmtId="0" fontId="18" fillId="0" borderId="22" xfId="0" applyFont="1" applyBorder="1" applyAlignment="1">
      <alignment vertical="center" wrapText="1"/>
    </xf>
    <xf numFmtId="0" fontId="18" fillId="0" borderId="23" xfId="0" applyFont="1" applyBorder="1" applyAlignment="1">
      <alignment vertical="center" wrapText="1"/>
    </xf>
    <xf numFmtId="0" fontId="18" fillId="0" borderId="12" xfId="0" applyFont="1" applyBorder="1" applyAlignment="1">
      <alignment vertical="center" wrapText="1"/>
    </xf>
    <xf numFmtId="0" fontId="18" fillId="0" borderId="24" xfId="0" applyFont="1" applyBorder="1" applyAlignment="1">
      <alignment vertical="center" wrapText="1"/>
    </xf>
    <xf numFmtId="188" fontId="18" fillId="0" borderId="13" xfId="0" applyNumberFormat="1" applyFont="1" applyBorder="1" applyAlignment="1">
      <alignment horizontal="center" vertical="center"/>
    </xf>
    <xf numFmtId="0" fontId="18" fillId="0" borderId="14" xfId="56" applyFont="1" applyBorder="1" applyAlignment="1">
      <alignment horizontal="center" vertical="center" wrapText="1"/>
      <protection/>
    </xf>
    <xf numFmtId="0" fontId="18" fillId="0" borderId="15" xfId="56" applyFont="1" applyBorder="1" applyAlignment="1">
      <alignment horizontal="center" vertical="center" wrapText="1"/>
      <protection/>
    </xf>
    <xf numFmtId="0" fontId="18" fillId="0" borderId="16" xfId="56" applyFont="1" applyBorder="1" applyAlignment="1">
      <alignment horizontal="center" vertical="center" wrapText="1"/>
      <protection/>
    </xf>
    <xf numFmtId="4" fontId="18" fillId="0" borderId="13" xfId="0" applyNumberFormat="1" applyFont="1" applyBorder="1" applyAlignment="1">
      <alignment horizontal="center" vertical="center"/>
    </xf>
    <xf numFmtId="0" fontId="18" fillId="0" borderId="13" xfId="56" applyFont="1" applyBorder="1" applyAlignment="1">
      <alignment horizontal="center" vertical="center" wrapText="1"/>
      <protection/>
    </xf>
    <xf numFmtId="2" fontId="18" fillId="0" borderId="14" xfId="0" applyNumberFormat="1" applyFont="1" applyBorder="1" applyAlignment="1">
      <alignment horizontal="left" vertical="center" wrapText="1"/>
    </xf>
    <xf numFmtId="2" fontId="18" fillId="0" borderId="15" xfId="0" applyNumberFormat="1" applyFont="1" applyBorder="1" applyAlignment="1">
      <alignment horizontal="left" vertical="center" wrapText="1"/>
    </xf>
    <xf numFmtId="2" fontId="18" fillId="0" borderId="16" xfId="0" applyNumberFormat="1" applyFont="1" applyBorder="1" applyAlignment="1">
      <alignment horizontal="left" vertical="center" wrapText="1"/>
    </xf>
    <xf numFmtId="189" fontId="18" fillId="0" borderId="14" xfId="0" applyNumberFormat="1" applyFont="1" applyBorder="1" applyAlignment="1">
      <alignment horizontal="left" vertical="center" wrapText="1"/>
    </xf>
    <xf numFmtId="189" fontId="18" fillId="0" borderId="15" xfId="0" applyNumberFormat="1" applyFont="1" applyBorder="1" applyAlignment="1">
      <alignment horizontal="left" vertical="center" wrapText="1"/>
    </xf>
    <xf numFmtId="189" fontId="18" fillId="0" borderId="16" xfId="0" applyNumberFormat="1" applyFont="1" applyBorder="1" applyAlignment="1">
      <alignment horizontal="left" vertical="center" wrapText="1"/>
    </xf>
    <xf numFmtId="0" fontId="18" fillId="0" borderId="13" xfId="0" applyFont="1" applyBorder="1" applyAlignment="1">
      <alignment horizontal="center"/>
    </xf>
    <xf numFmtId="0" fontId="18" fillId="0" borderId="13" xfId="55" applyFont="1" applyBorder="1" applyAlignment="1">
      <alignment horizontal="left" vertical="top" wrapText="1"/>
      <protection/>
    </xf>
    <xf numFmtId="0" fontId="27" fillId="0" borderId="13" xfId="55" applyFont="1" applyBorder="1" applyAlignment="1">
      <alignment horizontal="center" vertical="center" wrapText="1"/>
      <protection/>
    </xf>
    <xf numFmtId="0" fontId="18" fillId="0" borderId="13" xfId="55" applyFont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/>
    </xf>
    <xf numFmtId="188" fontId="18" fillId="0" borderId="14" xfId="0" applyNumberFormat="1" applyFont="1" applyBorder="1" applyAlignment="1">
      <alignment horizontal="center" vertical="center" wrapText="1"/>
    </xf>
    <xf numFmtId="188" fontId="18" fillId="0" borderId="16" xfId="0" applyNumberFormat="1" applyFont="1" applyBorder="1" applyAlignment="1">
      <alignment horizontal="center" vertical="center" wrapText="1"/>
    </xf>
    <xf numFmtId="3" fontId="18" fillId="0" borderId="13" xfId="0" applyNumberFormat="1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188" fontId="22" fillId="0" borderId="14" xfId="0" applyNumberFormat="1" applyFont="1" applyBorder="1" applyAlignment="1">
      <alignment horizontal="center" wrapText="1"/>
    </xf>
    <xf numFmtId="188" fontId="22" fillId="0" borderId="16" xfId="0" applyNumberFormat="1" applyFont="1" applyBorder="1" applyAlignment="1">
      <alignment horizontal="center" wrapText="1"/>
    </xf>
    <xf numFmtId="0" fontId="28" fillId="0" borderId="14" xfId="56" applyFont="1" applyBorder="1" applyAlignment="1">
      <alignment horizontal="left" vertical="center" wrapText="1"/>
      <protection/>
    </xf>
    <xf numFmtId="0" fontId="22" fillId="0" borderId="0" xfId="0" applyFont="1" applyAlignment="1">
      <alignment horizontal="center"/>
    </xf>
    <xf numFmtId="0" fontId="18" fillId="0" borderId="0" xfId="57" applyFont="1" applyFill="1" applyBorder="1" applyAlignment="1" applyProtection="1">
      <alignment vertical="center" wrapText="1"/>
      <protection/>
    </xf>
    <xf numFmtId="0" fontId="18" fillId="0" borderId="13" xfId="56" applyFont="1" applyFill="1" applyBorder="1" applyAlignment="1">
      <alignment horizontal="left" vertical="center" wrapText="1"/>
      <protection/>
    </xf>
    <xf numFmtId="0" fontId="18" fillId="0" borderId="0" xfId="57" applyFont="1" applyFill="1" applyBorder="1" applyAlignment="1">
      <alignment vertical="top" wrapText="1"/>
      <protection/>
    </xf>
    <xf numFmtId="4" fontId="23" fillId="0" borderId="25" xfId="57" applyNumberFormat="1" applyFont="1" applyBorder="1" applyAlignment="1">
      <alignment horizontal="center" vertical="center"/>
      <protection/>
    </xf>
    <xf numFmtId="0" fontId="18" fillId="0" borderId="12" xfId="57" applyFont="1" applyBorder="1" applyAlignment="1">
      <alignment horizontal="center" wrapText="1"/>
      <protection/>
    </xf>
    <xf numFmtId="0" fontId="21" fillId="0" borderId="11" xfId="57" applyFont="1" applyBorder="1" applyAlignment="1">
      <alignment horizontal="center" vertical="center" wrapText="1"/>
      <protection/>
    </xf>
    <xf numFmtId="14" fontId="18" fillId="0" borderId="12" xfId="57" applyNumberFormat="1" applyFont="1" applyFill="1" applyBorder="1" applyAlignment="1">
      <alignment horizontal="center"/>
      <protection/>
    </xf>
    <xf numFmtId="0" fontId="18" fillId="0" borderId="0" xfId="57" applyFont="1" applyBorder="1" applyAlignment="1">
      <alignment horizontal="left" vertical="top" wrapText="1"/>
      <protection/>
    </xf>
    <xf numFmtId="0" fontId="18" fillId="0" borderId="12" xfId="57" applyFont="1" applyBorder="1" applyAlignment="1">
      <alignment horizontal="center"/>
      <protection/>
    </xf>
    <xf numFmtId="0" fontId="18" fillId="0" borderId="0" xfId="57" applyFont="1" applyBorder="1" applyAlignment="1">
      <alignment horizontal="center" vertical="top"/>
      <protection/>
    </xf>
    <xf numFmtId="0" fontId="18" fillId="0" borderId="21" xfId="57" applyFont="1" applyBorder="1" applyAlignment="1">
      <alignment horizontal="center" vertical="center"/>
      <protection/>
    </xf>
    <xf numFmtId="0" fontId="18" fillId="0" borderId="0" xfId="57" applyFont="1" applyAlignment="1">
      <alignment horizontal="left" wrapText="1"/>
      <protection/>
    </xf>
    <xf numFmtId="0" fontId="18" fillId="0" borderId="13" xfId="56" applyFont="1" applyFill="1" applyBorder="1" applyAlignment="1">
      <alignment horizontal="center" vertical="center" wrapText="1"/>
      <protection/>
    </xf>
    <xf numFmtId="188" fontId="23" fillId="0" borderId="11" xfId="57" applyNumberFormat="1" applyFont="1" applyBorder="1" applyAlignment="1">
      <alignment horizontal="center"/>
      <protection/>
    </xf>
    <xf numFmtId="0" fontId="18" fillId="0" borderId="12" xfId="57" applyFont="1" applyFill="1" applyBorder="1" applyAlignment="1">
      <alignment horizontal="center"/>
      <protection/>
    </xf>
    <xf numFmtId="188" fontId="18" fillId="0" borderId="25" xfId="57" applyNumberFormat="1" applyFont="1" applyBorder="1" applyAlignment="1">
      <alignment horizontal="center" vertical="center"/>
      <protection/>
    </xf>
    <xf numFmtId="0" fontId="18" fillId="0" borderId="13" xfId="0" applyFont="1" applyBorder="1" applyAlignment="1">
      <alignment horizontal="center" wrapText="1"/>
    </xf>
    <xf numFmtId="188" fontId="23" fillId="0" borderId="14" xfId="56" applyNumberFormat="1" applyFont="1" applyBorder="1" applyAlignment="1">
      <alignment horizontal="center" vertical="center" wrapText="1"/>
      <protection/>
    </xf>
    <xf numFmtId="188" fontId="23" fillId="0" borderId="16" xfId="56" applyNumberFormat="1" applyFont="1" applyBorder="1" applyAlignment="1">
      <alignment horizontal="center" vertical="center" wrapText="1"/>
      <protection/>
    </xf>
    <xf numFmtId="4" fontId="23" fillId="0" borderId="13" xfId="56" applyNumberFormat="1" applyFont="1" applyBorder="1" applyAlignment="1">
      <alignment horizontal="center" vertical="center" wrapText="1"/>
      <protection/>
    </xf>
    <xf numFmtId="188" fontId="22" fillId="0" borderId="14" xfId="0" applyNumberFormat="1" applyFont="1" applyBorder="1" applyAlignment="1">
      <alignment horizontal="center" vertical="center" wrapText="1"/>
    </xf>
    <xf numFmtId="188" fontId="22" fillId="0" borderId="16" xfId="0" applyNumberFormat="1" applyFont="1" applyBorder="1" applyAlignment="1">
      <alignment horizontal="center" vertical="center" wrapText="1"/>
    </xf>
    <xf numFmtId="188" fontId="40" fillId="0" borderId="14" xfId="56" applyNumberFormat="1" applyFont="1" applyBorder="1" applyAlignment="1">
      <alignment horizontal="center" vertical="center" wrapText="1"/>
      <protection/>
    </xf>
    <xf numFmtId="188" fontId="40" fillId="0" borderId="16" xfId="56" applyNumberFormat="1" applyFont="1" applyBorder="1" applyAlignment="1">
      <alignment horizontal="center" vertical="center" wrapText="1"/>
      <protection/>
    </xf>
    <xf numFmtId="188" fontId="23" fillId="0" borderId="13" xfId="56" applyNumberFormat="1" applyFont="1" applyBorder="1" applyAlignment="1">
      <alignment horizontal="center" vertical="center" wrapText="1"/>
      <protection/>
    </xf>
    <xf numFmtId="4" fontId="23" fillId="0" borderId="14" xfId="56" applyNumberFormat="1" applyFont="1" applyBorder="1" applyAlignment="1">
      <alignment horizontal="center" vertical="center" wrapText="1"/>
      <protection/>
    </xf>
    <xf numFmtId="4" fontId="23" fillId="0" borderId="16" xfId="56" applyNumberFormat="1" applyFont="1" applyBorder="1" applyAlignment="1">
      <alignment horizontal="center" vertical="center" wrapText="1"/>
      <protection/>
    </xf>
    <xf numFmtId="188" fontId="40" fillId="0" borderId="13" xfId="56" applyNumberFormat="1" applyFont="1" applyBorder="1" applyAlignment="1">
      <alignment horizontal="center" vertical="center" wrapText="1"/>
      <protection/>
    </xf>
    <xf numFmtId="0" fontId="22" fillId="0" borderId="13" xfId="56" applyFont="1" applyBorder="1" applyAlignment="1">
      <alignment vertical="center" wrapText="1"/>
      <protection/>
    </xf>
    <xf numFmtId="4" fontId="40" fillId="0" borderId="13" xfId="56" applyNumberFormat="1" applyFont="1" applyBorder="1" applyAlignment="1">
      <alignment horizontal="center" vertical="center" wrapText="1"/>
      <protection/>
    </xf>
    <xf numFmtId="0" fontId="18" fillId="0" borderId="14" xfId="56" applyFont="1" applyBorder="1" applyAlignment="1">
      <alignment vertical="center" wrapText="1"/>
      <protection/>
    </xf>
    <xf numFmtId="0" fontId="18" fillId="0" borderId="15" xfId="56" applyFont="1" applyBorder="1" applyAlignment="1">
      <alignment vertical="center" wrapText="1"/>
      <protection/>
    </xf>
    <xf numFmtId="0" fontId="18" fillId="0" borderId="16" xfId="56" applyFont="1" applyBorder="1" applyAlignment="1">
      <alignment vertical="center" wrapText="1"/>
      <protection/>
    </xf>
    <xf numFmtId="0" fontId="28" fillId="0" borderId="14" xfId="56" applyFont="1" applyBorder="1" applyAlignment="1">
      <alignment vertical="center" wrapText="1"/>
      <protection/>
    </xf>
    <xf numFmtId="0" fontId="28" fillId="0" borderId="15" xfId="56" applyFont="1" applyBorder="1" applyAlignment="1">
      <alignment vertical="center" wrapText="1"/>
      <protection/>
    </xf>
    <xf numFmtId="0" fontId="28" fillId="0" borderId="16" xfId="56" applyFont="1" applyBorder="1" applyAlignment="1">
      <alignment vertical="center" wrapText="1"/>
      <protection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2" fontId="18" fillId="0" borderId="13" xfId="0" applyNumberFormat="1" applyFont="1" applyBorder="1" applyAlignment="1">
      <alignment horizontal="left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170" fontId="18" fillId="0" borderId="14" xfId="0" applyNumberFormat="1" applyFont="1" applyBorder="1" applyAlignment="1">
      <alignment horizontal="left" vertical="center"/>
    </xf>
    <xf numFmtId="170" fontId="18" fillId="0" borderId="15" xfId="0" applyNumberFormat="1" applyFont="1" applyBorder="1" applyAlignment="1">
      <alignment horizontal="left" vertical="center"/>
    </xf>
    <xf numFmtId="170" fontId="18" fillId="0" borderId="16" xfId="0" applyNumberFormat="1" applyFont="1" applyBorder="1" applyAlignment="1">
      <alignment horizontal="left" vertical="center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center" vertical="center" wrapText="1"/>
    </xf>
    <xf numFmtId="0" fontId="18" fillId="16" borderId="13" xfId="0" applyFont="1" applyFill="1" applyBorder="1" applyAlignment="1">
      <alignment horizontal="center" vertical="center" wrapText="1"/>
    </xf>
    <xf numFmtId="185" fontId="18" fillId="0" borderId="14" xfId="56" applyNumberFormat="1" applyFont="1" applyFill="1" applyBorder="1" applyAlignment="1">
      <alignment horizontal="center" vertical="center" wrapText="1"/>
      <protection/>
    </xf>
    <xf numFmtId="185" fontId="18" fillId="0" borderId="16" xfId="56" applyNumberFormat="1" applyFont="1" applyFill="1" applyBorder="1" applyAlignment="1">
      <alignment horizontal="center" vertical="center" wrapText="1"/>
      <protection/>
    </xf>
    <xf numFmtId="170" fontId="18" fillId="0" borderId="14" xfId="0" applyNumberFormat="1" applyFont="1" applyBorder="1" applyAlignment="1">
      <alignment vertical="center" wrapText="1"/>
    </xf>
    <xf numFmtId="170" fontId="18" fillId="0" borderId="15" xfId="0" applyNumberFormat="1" applyFont="1" applyBorder="1" applyAlignment="1">
      <alignment vertical="center" wrapText="1"/>
    </xf>
    <xf numFmtId="170" fontId="18" fillId="0" borderId="16" xfId="0" applyNumberFormat="1" applyFont="1" applyBorder="1" applyAlignment="1">
      <alignment vertical="center" wrapText="1"/>
    </xf>
    <xf numFmtId="2" fontId="18" fillId="5" borderId="14" xfId="0" applyNumberFormat="1" applyFont="1" applyFill="1" applyBorder="1" applyAlignment="1">
      <alignment horizontal="center" vertical="center" wrapText="1"/>
    </xf>
    <xf numFmtId="2" fontId="18" fillId="5" borderId="16" xfId="0" applyNumberFormat="1" applyFont="1" applyFill="1" applyBorder="1" applyAlignment="1">
      <alignment horizontal="center" vertical="center" wrapText="1"/>
    </xf>
    <xf numFmtId="4" fontId="18" fillId="0" borderId="14" xfId="0" applyNumberFormat="1" applyFont="1" applyFill="1" applyBorder="1" applyAlignment="1">
      <alignment horizontal="center" vertical="center" wrapText="1"/>
    </xf>
    <xf numFmtId="4" fontId="18" fillId="0" borderId="16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6" xfId="0" applyFont="1" applyFill="1" applyBorder="1" applyAlignment="1">
      <alignment vertical="center" wrapText="1"/>
    </xf>
    <xf numFmtId="4" fontId="18" fillId="0" borderId="14" xfId="0" applyNumberFormat="1" applyFont="1" applyBorder="1" applyAlignment="1">
      <alignment horizontal="center" vertical="center" wrapText="1"/>
    </xf>
    <xf numFmtId="4" fontId="18" fillId="0" borderId="16" xfId="0" applyNumberFormat="1" applyFont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26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8" fillId="5" borderId="21" xfId="0" applyFont="1" applyFill="1" applyBorder="1" applyAlignment="1">
      <alignment horizontal="center" vertical="center" wrapText="1"/>
    </xf>
    <xf numFmtId="0" fontId="18" fillId="5" borderId="22" xfId="0" applyFont="1" applyFill="1" applyBorder="1" applyAlignment="1">
      <alignment horizontal="center" vertical="center" wrapText="1"/>
    </xf>
    <xf numFmtId="0" fontId="18" fillId="5" borderId="17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 wrapText="1"/>
    </xf>
    <xf numFmtId="0" fontId="18" fillId="5" borderId="26" xfId="0" applyFont="1" applyFill="1" applyBorder="1" applyAlignment="1">
      <alignment horizontal="center" vertical="center" wrapText="1"/>
    </xf>
    <xf numFmtId="0" fontId="18" fillId="5" borderId="23" xfId="0" applyFont="1" applyFill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center" vertical="center" wrapText="1"/>
    </xf>
    <xf numFmtId="0" fontId="18" fillId="5" borderId="24" xfId="0" applyFont="1" applyFill="1" applyBorder="1" applyAlignment="1">
      <alignment horizontal="center" vertical="center" wrapText="1"/>
    </xf>
    <xf numFmtId="4" fontId="18" fillId="5" borderId="14" xfId="0" applyNumberFormat="1" applyFont="1" applyFill="1" applyBorder="1" applyAlignment="1">
      <alignment horizontal="center" vertical="center" wrapText="1"/>
    </xf>
    <xf numFmtId="4" fontId="18" fillId="5" borderId="16" xfId="0" applyNumberFormat="1" applyFont="1" applyFill="1" applyBorder="1" applyAlignment="1">
      <alignment horizontal="center" vertical="center" wrapText="1"/>
    </xf>
    <xf numFmtId="3" fontId="18" fillId="0" borderId="14" xfId="0" applyNumberFormat="1" applyFont="1" applyBorder="1" applyAlignment="1">
      <alignment horizontal="center" vertical="center" wrapText="1"/>
    </xf>
    <xf numFmtId="3" fontId="18" fillId="0" borderId="16" xfId="0" applyNumberFormat="1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4" fontId="18" fillId="0" borderId="13" xfId="56" applyNumberFormat="1" applyFont="1" applyBorder="1" applyAlignment="1">
      <alignment horizontal="center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188" fontId="18" fillId="0" borderId="14" xfId="0" applyNumberFormat="1" applyFont="1" applyFill="1" applyBorder="1" applyAlignment="1">
      <alignment horizontal="center" vertical="center" wrapText="1"/>
    </xf>
    <xf numFmtId="188" fontId="18" fillId="0" borderId="16" xfId="0" applyNumberFormat="1" applyFont="1" applyFill="1" applyBorder="1" applyAlignment="1">
      <alignment horizontal="center" vertical="center" wrapText="1"/>
    </xf>
    <xf numFmtId="186" fontId="18" fillId="5" borderId="13" xfId="0" applyNumberFormat="1" applyFont="1" applyFill="1" applyBorder="1" applyAlignment="1">
      <alignment horizontal="center" vertical="center" wrapText="1"/>
    </xf>
    <xf numFmtId="186" fontId="18" fillId="0" borderId="13" xfId="0" applyNumberFormat="1" applyFont="1" applyBorder="1" applyAlignment="1">
      <alignment horizontal="center" vertical="center" wrapText="1"/>
    </xf>
    <xf numFmtId="186" fontId="0" fillId="0" borderId="13" xfId="0" applyNumberFormat="1" applyFont="1" applyBorder="1" applyAlignment="1">
      <alignment horizontal="left"/>
    </xf>
    <xf numFmtId="2" fontId="18" fillId="0" borderId="13" xfId="56" applyNumberFormat="1" applyFont="1" applyFill="1" applyBorder="1" applyAlignment="1">
      <alignment horizontal="center" vertical="center" wrapText="1"/>
      <protection/>
    </xf>
    <xf numFmtId="0" fontId="18" fillId="0" borderId="14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4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14" xfId="0" applyFont="1" applyFill="1" applyBorder="1" applyAlignment="1">
      <alignment horizontal="center" wrapText="1"/>
    </xf>
    <xf numFmtId="0" fontId="18" fillId="0" borderId="15" xfId="0" applyFont="1" applyFill="1" applyBorder="1" applyAlignment="1">
      <alignment horizontal="center" wrapText="1"/>
    </xf>
    <xf numFmtId="0" fontId="18" fillId="0" borderId="16" xfId="0" applyFont="1" applyFill="1" applyBorder="1" applyAlignment="1">
      <alignment horizontal="center" wrapText="1"/>
    </xf>
    <xf numFmtId="0" fontId="18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8" fillId="0" borderId="21" xfId="0" applyFont="1" applyBorder="1" applyAlignment="1">
      <alignment horizontal="left" vertical="center" wrapText="1"/>
    </xf>
    <xf numFmtId="0" fontId="18" fillId="0" borderId="22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2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18" fillId="0" borderId="16" xfId="0" applyNumberFormat="1" applyFont="1" applyFill="1" applyBorder="1" applyAlignment="1">
      <alignment horizontal="center" vertical="center" wrapText="1"/>
    </xf>
    <xf numFmtId="0" fontId="18" fillId="5" borderId="14" xfId="0" applyNumberFormat="1" applyFont="1" applyFill="1" applyBorder="1" applyAlignment="1">
      <alignment horizontal="center" vertical="center" wrapText="1"/>
    </xf>
    <xf numFmtId="0" fontId="18" fillId="5" borderId="16" xfId="0" applyNumberFormat="1" applyFont="1" applyFill="1" applyBorder="1" applyAlignment="1">
      <alignment horizontal="center" vertical="center" wrapText="1"/>
    </xf>
    <xf numFmtId="4" fontId="18" fillId="17" borderId="14" xfId="0" applyNumberFormat="1" applyFont="1" applyFill="1" applyBorder="1" applyAlignment="1">
      <alignment horizontal="center" vertical="center" wrapText="1"/>
    </xf>
    <xf numFmtId="4" fontId="18" fillId="17" borderId="16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top" wrapText="1"/>
    </xf>
    <xf numFmtId="0" fontId="27" fillId="0" borderId="13" xfId="0" applyFont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left" vertical="center" wrapText="1"/>
    </xf>
    <xf numFmtId="0" fontId="18" fillId="5" borderId="14" xfId="0" applyFont="1" applyFill="1" applyBorder="1" applyAlignment="1">
      <alignment horizontal="center" vertical="center" wrapText="1"/>
    </xf>
    <xf numFmtId="0" fontId="18" fillId="5" borderId="15" xfId="0" applyFont="1" applyFill="1" applyBorder="1" applyAlignment="1">
      <alignment horizontal="center" vertical="center" wrapText="1"/>
    </xf>
    <xf numFmtId="0" fontId="18" fillId="5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21" xfId="0" applyFont="1" applyBorder="1" applyAlignment="1">
      <alignment horizontal="left" vertical="top" wrapText="1"/>
    </xf>
    <xf numFmtId="0" fontId="18" fillId="0" borderId="14" xfId="56" applyNumberFormat="1" applyFont="1" applyFill="1" applyBorder="1" applyAlignment="1">
      <alignment horizontal="center" vertical="center" wrapText="1"/>
      <protection/>
    </xf>
    <xf numFmtId="0" fontId="18" fillId="0" borderId="16" xfId="56" applyNumberFormat="1" applyFont="1" applyFill="1" applyBorder="1" applyAlignment="1">
      <alignment horizontal="center" vertical="center" wrapText="1"/>
      <protection/>
    </xf>
    <xf numFmtId="0" fontId="18" fillId="0" borderId="15" xfId="0" applyFont="1" applyBorder="1" applyAlignment="1">
      <alignment horizontal="center" vertical="top" wrapText="1"/>
    </xf>
    <xf numFmtId="0" fontId="18" fillId="5" borderId="20" xfId="0" applyFont="1" applyFill="1" applyBorder="1" applyAlignment="1">
      <alignment horizontal="left" vertical="top" wrapText="1"/>
    </xf>
    <xf numFmtId="0" fontId="18" fillId="5" borderId="21" xfId="0" applyFont="1" applyFill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188" fontId="18" fillId="5" borderId="14" xfId="0" applyNumberFormat="1" applyFont="1" applyFill="1" applyBorder="1" applyAlignment="1">
      <alignment horizontal="center" vertical="center" wrapText="1"/>
    </xf>
    <xf numFmtId="188" fontId="18" fillId="5" borderId="16" xfId="0" applyNumberFormat="1" applyFont="1" applyFill="1" applyBorder="1" applyAlignment="1">
      <alignment horizontal="center" vertical="center" wrapText="1"/>
    </xf>
    <xf numFmtId="1" fontId="18" fillId="0" borderId="14" xfId="56" applyNumberFormat="1" applyFont="1" applyBorder="1" applyAlignment="1">
      <alignment horizontal="center" vertical="center" wrapText="1"/>
      <protection/>
    </xf>
    <xf numFmtId="1" fontId="18" fillId="0" borderId="16" xfId="56" applyNumberFormat="1" applyFont="1" applyBorder="1" applyAlignment="1">
      <alignment horizontal="center" vertical="center" wrapText="1"/>
      <protection/>
    </xf>
    <xf numFmtId="3" fontId="18" fillId="0" borderId="14" xfId="0" applyNumberFormat="1" applyFont="1" applyFill="1" applyBorder="1" applyAlignment="1">
      <alignment horizontal="center" vertical="center" wrapText="1"/>
    </xf>
    <xf numFmtId="3" fontId="18" fillId="0" borderId="16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2" fontId="18" fillId="0" borderId="16" xfId="0" applyNumberFormat="1" applyFont="1" applyFill="1" applyBorder="1" applyAlignment="1">
      <alignment horizontal="center" vertical="center" wrapText="1"/>
    </xf>
    <xf numFmtId="1" fontId="18" fillId="0" borderId="13" xfId="56" applyNumberFormat="1" applyFont="1" applyBorder="1" applyAlignment="1">
      <alignment horizontal="center" vertical="center" wrapText="1"/>
      <protection/>
    </xf>
    <xf numFmtId="0" fontId="18" fillId="0" borderId="13" xfId="56" applyFont="1" applyBorder="1" applyAlignment="1">
      <alignment vertical="center" wrapText="1"/>
      <protection/>
    </xf>
    <xf numFmtId="186" fontId="18" fillId="5" borderId="14" xfId="0" applyNumberFormat="1" applyFont="1" applyFill="1" applyBorder="1" applyAlignment="1">
      <alignment horizontal="center" vertical="center" wrapText="1"/>
    </xf>
    <xf numFmtId="186" fontId="18" fillId="5" borderId="16" xfId="0" applyNumberFormat="1" applyFont="1" applyFill="1" applyBorder="1" applyAlignment="1">
      <alignment horizontal="center" vertical="center" wrapText="1"/>
    </xf>
    <xf numFmtId="3" fontId="18" fillId="0" borderId="14" xfId="56" applyNumberFormat="1" applyFont="1" applyBorder="1" applyAlignment="1">
      <alignment horizontal="center" vertical="center" wrapText="1"/>
      <protection/>
    </xf>
    <xf numFmtId="3" fontId="18" fillId="0" borderId="16" xfId="56" applyNumberFormat="1" applyFont="1" applyBorder="1" applyAlignment="1">
      <alignment horizontal="center" vertical="center" wrapText="1"/>
      <protection/>
    </xf>
    <xf numFmtId="188" fontId="18" fillId="0" borderId="13" xfId="0" applyNumberFormat="1" applyFont="1" applyFill="1" applyBorder="1" applyAlignment="1">
      <alignment horizontal="center" vertical="center" wrapText="1"/>
    </xf>
    <xf numFmtId="188" fontId="0" fillId="0" borderId="13" xfId="0" applyNumberFormat="1" applyFill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4" fontId="18" fillId="0" borderId="14" xfId="0" applyNumberFormat="1" applyFont="1" applyBorder="1" applyAlignment="1">
      <alignment vertical="center" wrapText="1"/>
    </xf>
    <xf numFmtId="4" fontId="18" fillId="0" borderId="15" xfId="0" applyNumberFormat="1" applyFont="1" applyBorder="1" applyAlignment="1">
      <alignment vertical="center" wrapText="1"/>
    </xf>
    <xf numFmtId="4" fontId="18" fillId="0" borderId="16" xfId="0" applyNumberFormat="1" applyFont="1" applyBorder="1" applyAlignment="1">
      <alignment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41" fillId="0" borderId="15" xfId="0" applyFont="1" applyBorder="1" applyAlignment="1">
      <alignment horizontal="left" vertical="center" wrapText="1"/>
    </xf>
    <xf numFmtId="0" fontId="41" fillId="0" borderId="16" xfId="0" applyFont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18" fillId="5" borderId="14" xfId="0" applyFont="1" applyFill="1" applyBorder="1" applyAlignment="1">
      <alignment horizontal="left" vertical="top" wrapText="1"/>
    </xf>
    <xf numFmtId="0" fontId="18" fillId="5" borderId="15" xfId="0" applyFont="1" applyFill="1" applyBorder="1" applyAlignment="1">
      <alignment horizontal="left" vertical="top" wrapText="1"/>
    </xf>
    <xf numFmtId="0" fontId="18" fillId="5" borderId="16" xfId="0" applyFont="1" applyFill="1" applyBorder="1" applyAlignment="1">
      <alignment horizontal="left" vertical="top" wrapText="1"/>
    </xf>
    <xf numFmtId="0" fontId="18" fillId="5" borderId="14" xfId="0" applyFont="1" applyFill="1" applyBorder="1" applyAlignment="1">
      <alignment vertical="top" wrapText="1"/>
    </xf>
    <xf numFmtId="0" fontId="18" fillId="5" borderId="15" xfId="0" applyFont="1" applyFill="1" applyBorder="1" applyAlignment="1">
      <alignment vertical="top" wrapText="1"/>
    </xf>
    <xf numFmtId="0" fontId="18" fillId="5" borderId="16" xfId="0" applyFont="1" applyFill="1" applyBorder="1" applyAlignment="1">
      <alignment vertical="top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18" fillId="0" borderId="14" xfId="0" applyFont="1" applyBorder="1" applyAlignment="1">
      <alignment vertical="top" wrapText="1"/>
    </xf>
    <xf numFmtId="0" fontId="18" fillId="0" borderId="15" xfId="0" applyFont="1" applyBorder="1" applyAlignment="1">
      <alignment vertical="top" wrapText="1"/>
    </xf>
    <xf numFmtId="0" fontId="18" fillId="0" borderId="16" xfId="0" applyFont="1" applyBorder="1" applyAlignment="1">
      <alignment vertical="top" wrapText="1"/>
    </xf>
    <xf numFmtId="1" fontId="18" fillId="0" borderId="13" xfId="0" applyNumberFormat="1" applyFont="1" applyBorder="1" applyAlignment="1">
      <alignment horizontal="center" vertical="center" wrapText="1"/>
    </xf>
    <xf numFmtId="1" fontId="18" fillId="0" borderId="14" xfId="0" applyNumberFormat="1" applyFont="1" applyBorder="1" applyAlignment="1">
      <alignment horizontal="center" vertical="center" wrapText="1"/>
    </xf>
    <xf numFmtId="1" fontId="18" fillId="0" borderId="16" xfId="0" applyNumberFormat="1" applyFont="1" applyBorder="1" applyAlignment="1">
      <alignment horizontal="center" vertical="center" wrapText="1"/>
    </xf>
    <xf numFmtId="2" fontId="18" fillId="0" borderId="13" xfId="56" applyNumberFormat="1" applyFont="1" applyBorder="1" applyAlignment="1">
      <alignment horizontal="center" vertical="center" wrapText="1"/>
      <protection/>
    </xf>
    <xf numFmtId="4" fontId="18" fillId="0" borderId="13" xfId="57" applyNumberFormat="1" applyFont="1" applyBorder="1" applyAlignment="1">
      <alignment horizontal="center" vertical="center"/>
      <protection/>
    </xf>
    <xf numFmtId="4" fontId="18" fillId="0" borderId="13" xfId="0" applyNumberFormat="1" applyFont="1" applyFill="1" applyBorder="1" applyAlignment="1">
      <alignment horizontal="center" vertical="center"/>
    </xf>
    <xf numFmtId="188" fontId="18" fillId="0" borderId="13" xfId="0" applyNumberFormat="1" applyFont="1" applyFill="1" applyBorder="1" applyAlignment="1">
      <alignment horizontal="center" vertical="center"/>
    </xf>
    <xf numFmtId="188" fontId="18" fillId="0" borderId="25" xfId="57" applyNumberFormat="1" applyFont="1" applyFill="1" applyBorder="1" applyAlignment="1">
      <alignment horizontal="center"/>
      <protection/>
    </xf>
    <xf numFmtId="188" fontId="18" fillId="0" borderId="25" xfId="57" applyNumberFormat="1" applyFont="1" applyBorder="1" applyAlignment="1">
      <alignment horizontal="center"/>
      <protection/>
    </xf>
    <xf numFmtId="188" fontId="0" fillId="0" borderId="13" xfId="0" applyNumberFormat="1" applyBorder="1" applyAlignment="1">
      <alignment horizontal="center"/>
    </xf>
    <xf numFmtId="0" fontId="18" fillId="0" borderId="21" xfId="57" applyFont="1" applyBorder="1" applyAlignment="1">
      <alignment horizontal="center" vertical="top"/>
      <protection/>
    </xf>
    <xf numFmtId="0" fontId="18" fillId="0" borderId="0" xfId="57" applyFont="1" applyFill="1" applyBorder="1" applyAlignment="1">
      <alignment horizontal="left" vertical="top" wrapText="1"/>
      <protection/>
    </xf>
    <xf numFmtId="0" fontId="18" fillId="0" borderId="0" xfId="57" applyNumberFormat="1" applyFont="1" applyFill="1" applyBorder="1" applyAlignment="1" applyProtection="1">
      <alignment vertical="top" wrapText="1"/>
      <protection/>
    </xf>
    <xf numFmtId="188" fontId="18" fillId="0" borderId="14" xfId="0" applyNumberFormat="1" applyFont="1" applyBorder="1" applyAlignment="1">
      <alignment horizontal="center" vertical="center"/>
    </xf>
    <xf numFmtId="188" fontId="18" fillId="0" borderId="16" xfId="0" applyNumberFormat="1" applyFont="1" applyBorder="1" applyAlignment="1">
      <alignment horizontal="center" vertical="center"/>
    </xf>
    <xf numFmtId="188" fontId="18" fillId="0" borderId="14" xfId="0" applyNumberFormat="1" applyFont="1" applyFill="1" applyBorder="1" applyAlignment="1">
      <alignment horizontal="center" vertical="center"/>
    </xf>
    <xf numFmtId="188" fontId="18" fillId="0" borderId="16" xfId="0" applyNumberFormat="1" applyFont="1" applyFill="1" applyBorder="1" applyAlignment="1">
      <alignment horizontal="center" vertical="center"/>
    </xf>
    <xf numFmtId="2" fontId="18" fillId="5" borderId="14" xfId="0" applyNumberFormat="1" applyFont="1" applyFill="1" applyBorder="1" applyAlignment="1">
      <alignment horizontal="center" vertical="center"/>
    </xf>
    <xf numFmtId="2" fontId="18" fillId="5" borderId="16" xfId="0" applyNumberFormat="1" applyFont="1" applyFill="1" applyBorder="1" applyAlignment="1">
      <alignment horizontal="center" vertical="center"/>
    </xf>
    <xf numFmtId="0" fontId="18" fillId="0" borderId="13" xfId="0" applyFont="1" applyBorder="1" applyAlignment="1">
      <alignment horizontal="left" vertical="top" wrapText="1"/>
    </xf>
    <xf numFmtId="0" fontId="18" fillId="0" borderId="13" xfId="0" applyFont="1" applyFill="1" applyBorder="1" applyAlignment="1">
      <alignment horizontal="left" vertical="top" wrapText="1"/>
    </xf>
    <xf numFmtId="0" fontId="37" fillId="5" borderId="14" xfId="0" applyFont="1" applyFill="1" applyBorder="1" applyAlignment="1">
      <alignment horizontal="center" vertical="center" wrapText="1"/>
    </xf>
    <xf numFmtId="0" fontId="37" fillId="5" borderId="16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top" wrapText="1"/>
    </xf>
    <xf numFmtId="0" fontId="18" fillId="0" borderId="15" xfId="0" applyFont="1" applyFill="1" applyBorder="1" applyAlignment="1">
      <alignment vertical="top" wrapText="1"/>
    </xf>
    <xf numFmtId="0" fontId="18" fillId="0" borderId="16" xfId="0" applyFont="1" applyFill="1" applyBorder="1" applyAlignment="1">
      <alignment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0" fontId="18" fillId="0" borderId="16" xfId="0" applyFont="1" applyFill="1" applyBorder="1" applyAlignment="1">
      <alignment horizontal="left" vertical="top" wrapText="1"/>
    </xf>
    <xf numFmtId="0" fontId="18" fillId="0" borderId="14" xfId="56" applyFont="1" applyFill="1" applyBorder="1" applyAlignment="1">
      <alignment vertical="center" wrapText="1"/>
      <protection/>
    </xf>
    <xf numFmtId="0" fontId="18" fillId="0" borderId="15" xfId="56" applyFont="1" applyFill="1" applyBorder="1" applyAlignment="1">
      <alignment vertical="center" wrapText="1"/>
      <protection/>
    </xf>
    <xf numFmtId="0" fontId="18" fillId="0" borderId="16" xfId="56" applyFont="1" applyFill="1" applyBorder="1" applyAlignment="1">
      <alignment vertical="center" wrapText="1"/>
      <protection/>
    </xf>
    <xf numFmtId="0" fontId="18" fillId="0" borderId="13" xfId="56" applyNumberFormat="1" applyFont="1" applyBorder="1" applyAlignment="1">
      <alignment horizontal="center" vertical="center" wrapText="1"/>
      <protection/>
    </xf>
    <xf numFmtId="0" fontId="30" fillId="5" borderId="13" xfId="0" applyFont="1" applyFill="1" applyBorder="1" applyAlignment="1">
      <alignment horizontal="left" vertical="center" wrapText="1"/>
    </xf>
    <xf numFmtId="4" fontId="18" fillId="0" borderId="14" xfId="56" applyNumberFormat="1" applyFont="1" applyBorder="1" applyAlignment="1">
      <alignment horizontal="center" vertical="center" wrapText="1"/>
      <protection/>
    </xf>
    <xf numFmtId="4" fontId="18" fillId="0" borderId="16" xfId="56" applyNumberFormat="1" applyFont="1" applyBorder="1" applyAlignment="1">
      <alignment horizontal="center" vertical="center" wrapText="1"/>
      <protection/>
    </xf>
    <xf numFmtId="186" fontId="18" fillId="0" borderId="14" xfId="0" applyNumberFormat="1" applyFont="1" applyFill="1" applyBorder="1" applyAlignment="1">
      <alignment horizontal="center" vertical="center" wrapText="1"/>
    </xf>
    <xf numFmtId="186" fontId="18" fillId="0" borderId="16" xfId="0" applyNumberFormat="1" applyFont="1" applyFill="1" applyBorder="1" applyAlignment="1">
      <alignment horizontal="center" vertical="center" wrapText="1"/>
    </xf>
    <xf numFmtId="184" fontId="18" fillId="0" borderId="13" xfId="56" applyNumberFormat="1" applyFont="1" applyBorder="1" applyAlignment="1">
      <alignment horizontal="center" vertical="center" wrapText="1"/>
      <protection/>
    </xf>
    <xf numFmtId="0" fontId="18" fillId="5" borderId="14" xfId="0" applyFont="1" applyFill="1" applyBorder="1" applyAlignment="1">
      <alignment vertical="center" wrapText="1"/>
    </xf>
    <xf numFmtId="0" fontId="18" fillId="5" borderId="15" xfId="0" applyFont="1" applyFill="1" applyBorder="1" applyAlignment="1">
      <alignment vertical="center" wrapText="1"/>
    </xf>
    <xf numFmtId="0" fontId="18" fillId="5" borderId="16" xfId="0" applyFont="1" applyFill="1" applyBorder="1" applyAlignment="1">
      <alignment vertical="center" wrapText="1"/>
    </xf>
    <xf numFmtId="4" fontId="22" fillId="0" borderId="13" xfId="56" applyNumberFormat="1" applyFont="1" applyFill="1" applyBorder="1" applyAlignment="1">
      <alignment horizontal="center" vertical="center" wrapText="1"/>
      <protection/>
    </xf>
    <xf numFmtId="0" fontId="41" fillId="0" borderId="13" xfId="0" applyNumberFormat="1" applyFont="1" applyBorder="1" applyAlignment="1">
      <alignment horizontal="left"/>
    </xf>
    <xf numFmtId="0" fontId="30" fillId="5" borderId="14" xfId="0" applyFont="1" applyFill="1" applyBorder="1" applyAlignment="1">
      <alignment vertical="center" wrapText="1"/>
    </xf>
    <xf numFmtId="0" fontId="30" fillId="5" borderId="15" xfId="0" applyFont="1" applyFill="1" applyBorder="1" applyAlignment="1">
      <alignment vertical="center" wrapText="1"/>
    </xf>
    <xf numFmtId="0" fontId="30" fillId="5" borderId="16" xfId="0" applyFont="1" applyFill="1" applyBorder="1" applyAlignment="1">
      <alignment vertical="center" wrapText="1"/>
    </xf>
    <xf numFmtId="185" fontId="18" fillId="0" borderId="13" xfId="56" applyNumberFormat="1" applyFont="1" applyBorder="1" applyAlignment="1">
      <alignment horizontal="center" vertical="center" wrapText="1"/>
      <protection/>
    </xf>
    <xf numFmtId="0" fontId="28" fillId="0" borderId="15" xfId="56" applyFont="1" applyBorder="1" applyAlignment="1">
      <alignment horizontal="left" vertical="center" wrapText="1"/>
      <protection/>
    </xf>
    <xf numFmtId="0" fontId="28" fillId="0" borderId="16" xfId="56" applyFont="1" applyBorder="1" applyAlignment="1">
      <alignment horizontal="left" vertical="center" wrapText="1"/>
      <protection/>
    </xf>
    <xf numFmtId="188" fontId="22" fillId="0" borderId="13" xfId="0" applyNumberFormat="1" applyFont="1" applyBorder="1" applyAlignment="1">
      <alignment horizontal="center" vertical="center" wrapText="1"/>
    </xf>
    <xf numFmtId="188" fontId="41" fillId="0" borderId="13" xfId="0" applyNumberFormat="1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2" fontId="18" fillId="0" borderId="13" xfId="0" applyNumberFormat="1" applyFont="1" applyFill="1" applyBorder="1" applyAlignment="1">
      <alignment horizontal="center" vertical="center" wrapText="1"/>
    </xf>
    <xf numFmtId="188" fontId="22" fillId="0" borderId="13" xfId="56" applyNumberFormat="1" applyFont="1" applyFill="1" applyBorder="1" applyAlignment="1">
      <alignment horizontal="center" vertical="center" wrapText="1"/>
      <protection/>
    </xf>
    <xf numFmtId="188" fontId="41" fillId="0" borderId="13" xfId="0" applyNumberFormat="1" applyFont="1" applyFill="1" applyBorder="1" applyAlignment="1">
      <alignment horizontal="left"/>
    </xf>
    <xf numFmtId="185" fontId="18" fillId="0" borderId="14" xfId="56" applyNumberFormat="1" applyFont="1" applyBorder="1" applyAlignment="1">
      <alignment horizontal="center" vertical="center" wrapText="1"/>
      <protection/>
    </xf>
    <xf numFmtId="185" fontId="18" fillId="0" borderId="16" xfId="56" applyNumberFormat="1" applyFont="1" applyBorder="1" applyAlignment="1">
      <alignment horizontal="center" vertical="center" wrapText="1"/>
      <protection/>
    </xf>
    <xf numFmtId="184" fontId="18" fillId="0" borderId="14" xfId="0" applyNumberFormat="1" applyFont="1" applyFill="1" applyBorder="1" applyAlignment="1">
      <alignment horizontal="center" vertical="center" wrapText="1"/>
    </xf>
    <xf numFmtId="184" fontId="18" fillId="0" borderId="16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left"/>
    </xf>
    <xf numFmtId="4" fontId="41" fillId="0" borderId="13" xfId="0" applyNumberFormat="1" applyFont="1" applyFill="1" applyBorder="1" applyAlignment="1">
      <alignment horizontal="left"/>
    </xf>
    <xf numFmtId="4" fontId="22" fillId="0" borderId="14" xfId="56" applyNumberFormat="1" applyFont="1" applyFill="1" applyBorder="1" applyAlignment="1">
      <alignment horizontal="center" vertical="center" wrapText="1"/>
      <protection/>
    </xf>
    <xf numFmtId="4" fontId="41" fillId="0" borderId="16" xfId="0" applyNumberFormat="1" applyFont="1" applyFill="1" applyBorder="1" applyAlignment="1">
      <alignment horizontal="left"/>
    </xf>
    <xf numFmtId="184" fontId="18" fillId="0" borderId="13" xfId="0" applyNumberFormat="1" applyFont="1" applyBorder="1" applyAlignment="1">
      <alignment horizontal="center" vertical="center" wrapText="1"/>
    </xf>
    <xf numFmtId="184" fontId="18" fillId="0" borderId="14" xfId="0" applyNumberFormat="1" applyFont="1" applyBorder="1" applyAlignment="1">
      <alignment horizontal="center" vertical="center" wrapText="1"/>
    </xf>
    <xf numFmtId="184" fontId="18" fillId="0" borderId="16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left"/>
    </xf>
    <xf numFmtId="184" fontId="0" fillId="0" borderId="16" xfId="0" applyNumberFormat="1" applyFont="1" applyBorder="1" applyAlignment="1">
      <alignment horizontal="left"/>
    </xf>
    <xf numFmtId="4" fontId="0" fillId="0" borderId="16" xfId="0" applyNumberFormat="1" applyFont="1" applyBorder="1" applyAlignment="1">
      <alignment horizontal="left"/>
    </xf>
    <xf numFmtId="188" fontId="18" fillId="5" borderId="13" xfId="0" applyNumberFormat="1" applyFont="1" applyFill="1" applyBorder="1" applyAlignment="1">
      <alignment horizontal="center" vertical="center" wrapText="1"/>
    </xf>
    <xf numFmtId="188" fontId="0" fillId="5" borderId="13" xfId="0" applyNumberFormat="1" applyFont="1" applyFill="1" applyBorder="1" applyAlignment="1">
      <alignment horizontal="left"/>
    </xf>
    <xf numFmtId="3" fontId="18" fillId="5" borderId="14" xfId="0" applyNumberFormat="1" applyFont="1" applyFill="1" applyBorder="1" applyAlignment="1">
      <alignment horizontal="center" vertical="center" wrapText="1"/>
    </xf>
    <xf numFmtId="3" fontId="18" fillId="5" borderId="16" xfId="0" applyNumberFormat="1" applyFont="1" applyFill="1" applyBorder="1" applyAlignment="1">
      <alignment horizontal="center" vertical="center" wrapText="1"/>
    </xf>
    <xf numFmtId="186" fontId="18" fillId="0" borderId="13" xfId="56" applyNumberFormat="1" applyFont="1" applyFill="1" applyBorder="1" applyAlignment="1">
      <alignment horizontal="center" vertical="center" wrapText="1"/>
      <protection/>
    </xf>
    <xf numFmtId="2" fontId="18" fillId="0" borderId="14" xfId="56" applyNumberFormat="1" applyFont="1" applyFill="1" applyBorder="1" applyAlignment="1">
      <alignment horizontal="center" vertical="center" wrapText="1"/>
      <protection/>
    </xf>
    <xf numFmtId="2" fontId="18" fillId="0" borderId="16" xfId="56" applyNumberFormat="1" applyFont="1" applyFill="1" applyBorder="1" applyAlignment="1">
      <alignment horizontal="center" vertical="center" wrapText="1"/>
      <protection/>
    </xf>
    <xf numFmtId="4" fontId="18" fillId="5" borderId="13" xfId="0" applyNumberFormat="1" applyFont="1" applyFill="1" applyBorder="1" applyAlignment="1">
      <alignment horizontal="center" vertical="center" wrapText="1"/>
    </xf>
    <xf numFmtId="0" fontId="0" fillId="5" borderId="13" xfId="0" applyFont="1" applyFill="1" applyBorder="1" applyAlignment="1">
      <alignment horizontal="left"/>
    </xf>
    <xf numFmtId="184" fontId="18" fillId="5" borderId="14" xfId="0" applyNumberFormat="1" applyFont="1" applyFill="1" applyBorder="1" applyAlignment="1">
      <alignment horizontal="center" vertical="center" wrapText="1"/>
    </xf>
    <xf numFmtId="184" fontId="18" fillId="5" borderId="16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/>
    </xf>
    <xf numFmtId="186" fontId="18" fillId="0" borderId="13" xfId="56" applyNumberFormat="1" applyFont="1" applyBorder="1" applyAlignment="1">
      <alignment horizontal="center" vertical="center" wrapText="1"/>
      <protection/>
    </xf>
    <xf numFmtId="4" fontId="0" fillId="5" borderId="16" xfId="0" applyNumberFormat="1" applyFont="1" applyFill="1" applyBorder="1" applyAlignment="1">
      <alignment horizontal="center" vertical="center" wrapText="1"/>
    </xf>
    <xf numFmtId="4" fontId="18" fillId="0" borderId="13" xfId="56" applyNumberFormat="1" applyFont="1" applyFill="1" applyBorder="1" applyAlignment="1">
      <alignment horizontal="center" vertical="center" wrapText="1"/>
      <protection/>
    </xf>
    <xf numFmtId="4" fontId="0" fillId="0" borderId="13" xfId="0" applyNumberFormat="1" applyFont="1" applyFill="1" applyBorder="1" applyAlignment="1">
      <alignment horizontal="left"/>
    </xf>
    <xf numFmtId="4" fontId="18" fillId="0" borderId="14" xfId="0" applyNumberFormat="1" applyFont="1" applyFill="1" applyBorder="1" applyAlignment="1">
      <alignment horizontal="center" wrapText="1"/>
    </xf>
    <xf numFmtId="4" fontId="18" fillId="0" borderId="16" xfId="0" applyNumberFormat="1" applyFont="1" applyFill="1" applyBorder="1" applyAlignment="1">
      <alignment horizontal="center" wrapText="1"/>
    </xf>
    <xf numFmtId="188" fontId="18" fillId="0" borderId="14" xfId="0" applyNumberFormat="1" applyFont="1" applyFill="1" applyBorder="1" applyAlignment="1">
      <alignment horizontal="center" wrapText="1"/>
    </xf>
    <xf numFmtId="188" fontId="18" fillId="0" borderId="16" xfId="0" applyNumberFormat="1" applyFont="1" applyFill="1" applyBorder="1" applyAlignment="1">
      <alignment horizontal="center" wrapText="1"/>
    </xf>
    <xf numFmtId="1" fontId="18" fillId="0" borderId="13" xfId="56" applyNumberFormat="1" applyFont="1" applyFill="1" applyBorder="1" applyAlignment="1">
      <alignment horizontal="center" vertical="center" wrapText="1"/>
      <protection/>
    </xf>
    <xf numFmtId="4" fontId="18" fillId="5" borderId="14" xfId="0" applyNumberFormat="1" applyFont="1" applyFill="1" applyBorder="1" applyAlignment="1">
      <alignment horizontal="center" wrapText="1"/>
    </xf>
    <xf numFmtId="4" fontId="18" fillId="5" borderId="16" xfId="0" applyNumberFormat="1" applyFont="1" applyFill="1" applyBorder="1" applyAlignment="1">
      <alignment horizontal="center" wrapText="1"/>
    </xf>
    <xf numFmtId="188" fontId="18" fillId="0" borderId="14" xfId="0" applyNumberFormat="1" applyFont="1" applyBorder="1" applyAlignment="1">
      <alignment horizontal="center" wrapText="1"/>
    </xf>
    <xf numFmtId="188" fontId="18" fillId="0" borderId="16" xfId="0" applyNumberFormat="1" applyFont="1" applyBorder="1" applyAlignment="1">
      <alignment horizontal="center" wrapText="1"/>
    </xf>
    <xf numFmtId="2" fontId="18" fillId="0" borderId="14" xfId="56" applyNumberFormat="1" applyFont="1" applyBorder="1" applyAlignment="1">
      <alignment horizontal="center" vertical="center" wrapText="1"/>
      <protection/>
    </xf>
    <xf numFmtId="2" fontId="18" fillId="0" borderId="16" xfId="56" applyNumberFormat="1" applyFont="1" applyBorder="1" applyAlignment="1">
      <alignment horizontal="center" vertical="center" wrapText="1"/>
      <protection/>
    </xf>
    <xf numFmtId="2" fontId="18" fillId="0" borderId="14" xfId="0" applyNumberFormat="1" applyFont="1" applyFill="1" applyBorder="1" applyAlignment="1">
      <alignment horizontal="center" vertical="center"/>
    </xf>
    <xf numFmtId="2" fontId="18" fillId="0" borderId="16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8" fillId="0" borderId="14" xfId="56" applyFont="1" applyFill="1" applyBorder="1" applyAlignment="1">
      <alignment horizontal="center" vertical="center" wrapText="1"/>
      <protection/>
    </xf>
    <xf numFmtId="0" fontId="18" fillId="0" borderId="15" xfId="56" applyFont="1" applyFill="1" applyBorder="1" applyAlignment="1">
      <alignment horizontal="center" vertical="center" wrapText="1"/>
      <protection/>
    </xf>
    <xf numFmtId="0" fontId="18" fillId="0" borderId="16" xfId="56" applyFont="1" applyFill="1" applyBorder="1" applyAlignment="1">
      <alignment horizontal="center" vertical="center" wrapText="1"/>
      <protection/>
    </xf>
    <xf numFmtId="188" fontId="18" fillId="5" borderId="13" xfId="56" applyNumberFormat="1" applyFont="1" applyFill="1" applyBorder="1" applyAlignment="1">
      <alignment horizontal="center" vertical="center" wrapText="1"/>
      <protection/>
    </xf>
    <xf numFmtId="0" fontId="43" fillId="0" borderId="14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100102" xfId="55"/>
    <cellStyle name="Обычный_Паспорт_Звіт 2012 остання сесія 2" xfId="56"/>
    <cellStyle name="Обычный_Шаблон паспорта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13"/>
  <sheetViews>
    <sheetView view="pageBreakPreview" zoomScaleSheetLayoutView="100" zoomScalePageLayoutView="0" workbookViewId="0" topLeftCell="A1">
      <selection activeCell="B27" sqref="B27:C27"/>
    </sheetView>
  </sheetViews>
  <sheetFormatPr defaultColWidth="9.33203125" defaultRowHeight="11.25"/>
  <cols>
    <col min="1" max="1" width="4.5" style="0" customWidth="1"/>
    <col min="2" max="2" width="8" style="0" customWidth="1"/>
    <col min="3" max="4" width="11" style="0" customWidth="1"/>
    <col min="7" max="7" width="9" style="0" customWidth="1"/>
    <col min="8" max="8" width="13.66015625" style="0" customWidth="1"/>
    <col min="9" max="10" width="17.16015625" style="0" customWidth="1"/>
    <col min="11" max="11" width="21.83203125" style="0" customWidth="1"/>
    <col min="13" max="13" width="8.83203125" style="0" customWidth="1"/>
    <col min="14" max="14" width="10.83203125" style="0" customWidth="1"/>
    <col min="15" max="15" width="11.33203125" style="0" customWidth="1"/>
    <col min="16" max="16" width="10.5" style="0" customWidth="1"/>
    <col min="17" max="17" width="10" style="0" customWidth="1"/>
    <col min="18" max="18" width="8.16015625" style="0" customWidth="1"/>
    <col min="19" max="19" width="7.83203125" style="0" customWidth="1"/>
    <col min="20" max="20" width="10" style="0" customWidth="1"/>
    <col min="21" max="23" width="4.66015625" style="0" customWidth="1"/>
    <col min="24" max="24" width="6.33203125" style="0" customWidth="1"/>
    <col min="25" max="25" width="6" style="0" customWidth="1"/>
    <col min="26" max="26" width="8.5" style="0" customWidth="1"/>
  </cols>
  <sheetData>
    <row r="1" ht="12.75">
      <c r="K1" s="1" t="s">
        <v>705</v>
      </c>
    </row>
    <row r="2" ht="12.75">
      <c r="K2" s="1" t="s">
        <v>706</v>
      </c>
    </row>
    <row r="3" ht="12.75">
      <c r="K3" s="1" t="s">
        <v>725</v>
      </c>
    </row>
    <row r="6" spans="11:17" ht="15.75">
      <c r="K6" s="3" t="s">
        <v>43</v>
      </c>
      <c r="L6" s="3"/>
      <c r="M6" s="3"/>
      <c r="N6" s="3"/>
      <c r="O6" s="3"/>
      <c r="P6" s="3"/>
      <c r="Q6" s="3"/>
    </row>
    <row r="7" spans="11:17" ht="15.75">
      <c r="K7" s="4" t="s">
        <v>704</v>
      </c>
      <c r="L7" s="3"/>
      <c r="M7" s="3"/>
      <c r="N7" s="3"/>
      <c r="O7" s="3"/>
      <c r="P7" s="3"/>
      <c r="Q7" s="3"/>
    </row>
    <row r="8" spans="11:17" ht="15.75">
      <c r="K8" s="236" t="s">
        <v>44</v>
      </c>
      <c r="L8" s="236"/>
      <c r="M8" s="236"/>
      <c r="N8" s="236"/>
      <c r="O8" s="236"/>
      <c r="P8" s="236"/>
      <c r="Q8" s="236"/>
    </row>
    <row r="9" spans="11:17" ht="15">
      <c r="K9" s="42" t="s">
        <v>606</v>
      </c>
      <c r="L9" s="6"/>
      <c r="M9" s="6"/>
      <c r="N9" s="6"/>
      <c r="O9" s="6"/>
      <c r="P9" s="6"/>
      <c r="Q9" s="6"/>
    </row>
    <row r="10" spans="11:17" ht="15.75">
      <c r="K10" s="3"/>
      <c r="L10" s="3"/>
      <c r="M10" s="3"/>
      <c r="N10" s="3"/>
      <c r="O10" s="3"/>
      <c r="P10" s="3"/>
      <c r="Q10" s="3"/>
    </row>
    <row r="11" spans="11:17" ht="15.75">
      <c r="K11" s="8" t="s">
        <v>760</v>
      </c>
      <c r="L11" s="8"/>
      <c r="M11" s="8"/>
      <c r="N11" s="8"/>
      <c r="O11" s="8"/>
      <c r="P11" s="8"/>
      <c r="Q11" s="8"/>
    </row>
    <row r="12" spans="11:17" ht="15.75">
      <c r="K12" s="42" t="s">
        <v>607</v>
      </c>
      <c r="L12" s="9"/>
      <c r="M12" s="9"/>
      <c r="N12" s="9"/>
      <c r="O12" s="9"/>
      <c r="P12" s="9"/>
      <c r="Q12" s="9"/>
    </row>
    <row r="13" spans="11:17" ht="15.75">
      <c r="K13" s="237" t="s">
        <v>805</v>
      </c>
      <c r="L13" s="237"/>
      <c r="M13" s="52"/>
      <c r="N13" s="35"/>
      <c r="O13" s="40"/>
      <c r="P13" s="23"/>
      <c r="Q13" s="23"/>
    </row>
    <row r="16" spans="1:18" ht="15.75">
      <c r="A16" s="230" t="s">
        <v>608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</row>
    <row r="17" spans="1:18" ht="15.75">
      <c r="A17" s="230" t="s">
        <v>609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</row>
    <row r="18" spans="1:18" ht="15.75">
      <c r="A18" s="230" t="s">
        <v>712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</row>
    <row r="21" spans="1:14" ht="15.75">
      <c r="A21" s="46" t="s">
        <v>610</v>
      </c>
      <c r="B21" s="239">
        <v>4000000</v>
      </c>
      <c r="C21" s="239"/>
      <c r="E21" s="14" t="s">
        <v>44</v>
      </c>
      <c r="F21" s="34"/>
      <c r="G21" s="34"/>
      <c r="H21" s="11"/>
      <c r="I21" s="11"/>
      <c r="J21" s="11"/>
      <c r="K21" s="11"/>
      <c r="L21" s="11"/>
      <c r="M21" s="11"/>
      <c r="N21" s="52"/>
    </row>
    <row r="22" spans="1:14" ht="15.75">
      <c r="A22" s="44"/>
      <c r="B22" s="240" t="s">
        <v>611</v>
      </c>
      <c r="C22" s="240"/>
      <c r="E22" s="240" t="s">
        <v>612</v>
      </c>
      <c r="F22" s="240"/>
      <c r="G22" s="240"/>
      <c r="H22" s="240"/>
      <c r="I22" s="240"/>
      <c r="J22" s="240"/>
      <c r="K22" s="240"/>
      <c r="L22" s="240"/>
      <c r="M22" s="240"/>
      <c r="N22" s="240"/>
    </row>
    <row r="23" ht="11.25">
      <c r="A23" s="44"/>
    </row>
    <row r="24" spans="1:14" ht="15.75">
      <c r="A24" s="46" t="s">
        <v>613</v>
      </c>
      <c r="B24" s="239">
        <v>4010000</v>
      </c>
      <c r="C24" s="239"/>
      <c r="E24" s="14" t="s">
        <v>44</v>
      </c>
      <c r="F24" s="34"/>
      <c r="G24" s="34"/>
      <c r="H24" s="11"/>
      <c r="I24" s="11"/>
      <c r="J24" s="11"/>
      <c r="K24" s="11"/>
      <c r="L24" s="11"/>
      <c r="M24" s="11"/>
      <c r="N24" s="52"/>
    </row>
    <row r="25" spans="1:13" ht="15.75">
      <c r="A25" s="44"/>
      <c r="B25" s="240" t="s">
        <v>611</v>
      </c>
      <c r="C25" s="240"/>
      <c r="E25" s="240" t="s">
        <v>614</v>
      </c>
      <c r="F25" s="240"/>
      <c r="G25" s="240"/>
      <c r="H25" s="240"/>
      <c r="I25" s="240"/>
      <c r="J25" s="240"/>
      <c r="K25" s="240"/>
      <c r="L25" s="240"/>
      <c r="M25" s="240"/>
    </row>
    <row r="26" ht="11.25">
      <c r="A26" s="44"/>
    </row>
    <row r="27" spans="1:17" ht="15.75" customHeight="1">
      <c r="A27" s="46" t="s">
        <v>615</v>
      </c>
      <c r="B27" s="245">
        <v>4016020</v>
      </c>
      <c r="C27" s="245"/>
      <c r="E27" s="69">
        <v>100102</v>
      </c>
      <c r="G27" s="235" t="s">
        <v>679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2:17" ht="18.75">
      <c r="B28" s="241" t="s">
        <v>611</v>
      </c>
      <c r="C28" s="241"/>
      <c r="E28" s="15" t="s">
        <v>113</v>
      </c>
      <c r="F28" s="3"/>
      <c r="G28" s="2"/>
      <c r="H28" s="2"/>
      <c r="I28" s="13"/>
      <c r="J28" s="13" t="s">
        <v>616</v>
      </c>
      <c r="K28" s="13"/>
      <c r="L28" s="13"/>
      <c r="M28" s="13"/>
      <c r="N28" s="13"/>
      <c r="O28" s="12"/>
      <c r="P28" s="2"/>
      <c r="Q28" s="13"/>
    </row>
    <row r="31" spans="1:10" ht="15.75">
      <c r="A31" s="10" t="s">
        <v>617</v>
      </c>
      <c r="B31" s="242" t="s">
        <v>726</v>
      </c>
      <c r="C31" s="242"/>
      <c r="D31" s="242"/>
      <c r="E31" s="242"/>
      <c r="F31" s="244">
        <f>F32+F33</f>
        <v>41995.444</v>
      </c>
      <c r="G31" s="244"/>
      <c r="H31" s="7" t="s">
        <v>618</v>
      </c>
      <c r="I31" s="16"/>
      <c r="J31" s="5"/>
    </row>
    <row r="32" spans="1:10" ht="18.75" customHeight="1">
      <c r="A32" s="10"/>
      <c r="B32" s="3" t="s">
        <v>619</v>
      </c>
      <c r="C32" s="3"/>
      <c r="D32" s="2"/>
      <c r="E32" s="2"/>
      <c r="F32" s="234">
        <v>0</v>
      </c>
      <c r="G32" s="234"/>
      <c r="H32" s="7" t="s">
        <v>707</v>
      </c>
      <c r="I32" s="17"/>
      <c r="J32" s="5"/>
    </row>
    <row r="33" spans="1:10" ht="17.25" customHeight="1">
      <c r="A33" s="10"/>
      <c r="B33" s="3" t="s">
        <v>620</v>
      </c>
      <c r="C33" s="3"/>
      <c r="D33" s="2"/>
      <c r="E33" s="2"/>
      <c r="F33" s="246">
        <f>S59</f>
        <v>41995.444</v>
      </c>
      <c r="G33" s="246"/>
      <c r="H33" s="7" t="s">
        <v>708</v>
      </c>
      <c r="I33" s="16"/>
      <c r="J33" s="5"/>
    </row>
    <row r="35" spans="1:16" ht="18.75" customHeight="1">
      <c r="A35" s="18" t="s">
        <v>621</v>
      </c>
      <c r="B35" s="238" t="s">
        <v>622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</row>
    <row r="36" spans="1:27" ht="35.25" customHeight="1">
      <c r="A36" s="55"/>
      <c r="B36" s="233" t="s">
        <v>53</v>
      </c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33"/>
      <c r="N36" s="233"/>
      <c r="O36" s="233"/>
      <c r="P36" s="233"/>
      <c r="Q36" s="233"/>
      <c r="R36" s="233"/>
      <c r="S36" s="233"/>
      <c r="T36" s="233"/>
      <c r="U36" s="99"/>
      <c r="V36" s="99"/>
      <c r="W36" s="99"/>
      <c r="X36" s="99"/>
      <c r="Y36" s="99"/>
      <c r="Z36" s="99"/>
      <c r="AA36" s="55"/>
    </row>
    <row r="37" spans="1:27" ht="152.25" customHeight="1">
      <c r="A37" s="55"/>
      <c r="B37" s="231" t="s">
        <v>791</v>
      </c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55"/>
      <c r="V37" s="55"/>
      <c r="W37" s="55"/>
      <c r="X37" s="55"/>
      <c r="Y37" s="55"/>
      <c r="Z37" s="55"/>
      <c r="AA37" s="55"/>
    </row>
    <row r="38" spans="1:27" ht="14.2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19" ht="15.75">
      <c r="A39" s="10" t="s">
        <v>623</v>
      </c>
      <c r="B39" s="19" t="s">
        <v>709</v>
      </c>
      <c r="C39" s="19"/>
      <c r="D39" s="19"/>
      <c r="F39" s="28" t="s">
        <v>625</v>
      </c>
      <c r="G39" s="28"/>
      <c r="H39" s="28"/>
      <c r="I39" s="28"/>
      <c r="J39" s="28"/>
      <c r="K39" s="28"/>
      <c r="L39" s="28"/>
      <c r="M39" s="28"/>
      <c r="N39" s="36"/>
      <c r="O39" s="36"/>
      <c r="P39" s="36"/>
      <c r="Q39" s="36"/>
      <c r="R39" s="36"/>
      <c r="S39" s="36"/>
    </row>
    <row r="40" spans="6:19" ht="15.75">
      <c r="F40" s="27" t="s">
        <v>669</v>
      </c>
      <c r="G40" s="52"/>
      <c r="H40" s="52"/>
      <c r="I40" s="52"/>
      <c r="J40" s="52"/>
      <c r="K40" s="52"/>
      <c r="L40" s="52"/>
      <c r="M40" s="65"/>
      <c r="N40" s="52"/>
      <c r="O40" s="52"/>
      <c r="P40" s="52"/>
      <c r="Q40" s="52"/>
      <c r="R40" s="52"/>
      <c r="S40" s="52"/>
    </row>
    <row r="41" ht="15" customHeight="1"/>
    <row r="42" spans="1:12" ht="15.75">
      <c r="A42" s="20" t="s">
        <v>624</v>
      </c>
      <c r="B42" s="21" t="s">
        <v>722</v>
      </c>
      <c r="C42" s="2"/>
      <c r="D42" s="21"/>
      <c r="E42" s="21"/>
      <c r="F42" s="21"/>
      <c r="G42" s="21"/>
      <c r="H42" s="21"/>
      <c r="I42" s="21"/>
      <c r="J42" s="21"/>
      <c r="K42" s="21"/>
      <c r="L42" s="21"/>
    </row>
    <row r="44" spans="1:20" ht="30.75" customHeight="1">
      <c r="A44" s="39"/>
      <c r="B44" s="30" t="s">
        <v>683</v>
      </c>
      <c r="C44" s="30" t="s">
        <v>721</v>
      </c>
      <c r="D44" s="30" t="s">
        <v>727</v>
      </c>
      <c r="E44" s="243" t="s">
        <v>720</v>
      </c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</row>
    <row r="45" spans="1:20" ht="17.25" customHeight="1">
      <c r="A45" s="24"/>
      <c r="B45" s="30">
        <v>1</v>
      </c>
      <c r="C45" s="30">
        <v>4016021</v>
      </c>
      <c r="D45" s="72" t="s">
        <v>626</v>
      </c>
      <c r="E45" s="232" t="s">
        <v>114</v>
      </c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</row>
    <row r="46" spans="1:20" ht="21" customHeight="1">
      <c r="A46" s="24"/>
      <c r="B46" s="30">
        <v>2</v>
      </c>
      <c r="C46" s="30">
        <v>4016022</v>
      </c>
      <c r="D46" s="72" t="s">
        <v>626</v>
      </c>
      <c r="E46" s="232" t="s">
        <v>66</v>
      </c>
      <c r="F46" s="232"/>
      <c r="G46" s="232"/>
      <c r="H46" s="232"/>
      <c r="I46" s="232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</row>
    <row r="47" ht="8.25" customHeight="1">
      <c r="B47" s="39"/>
    </row>
    <row r="48" spans="1:2" ht="15.75">
      <c r="A48" s="10" t="s">
        <v>710</v>
      </c>
      <c r="B48" s="21" t="s">
        <v>723</v>
      </c>
    </row>
    <row r="49" ht="8.25" customHeight="1"/>
    <row r="50" spans="1:17" ht="14.2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Q50" s="37" t="s">
        <v>672</v>
      </c>
    </row>
    <row r="51" spans="2:20" ht="36" customHeight="1">
      <c r="B51" s="30" t="s">
        <v>683</v>
      </c>
      <c r="C51" s="30" t="s">
        <v>721</v>
      </c>
      <c r="D51" s="30" t="s">
        <v>727</v>
      </c>
      <c r="E51" s="209" t="s">
        <v>224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09" t="s">
        <v>731</v>
      </c>
      <c r="P51" s="209"/>
      <c r="Q51" s="247" t="s">
        <v>732</v>
      </c>
      <c r="R51" s="247"/>
      <c r="S51" s="144" t="s">
        <v>686</v>
      </c>
      <c r="T51" s="144"/>
    </row>
    <row r="52" spans="2:20" ht="16.5" customHeight="1">
      <c r="B52" s="30">
        <v>1</v>
      </c>
      <c r="C52" s="30">
        <v>2</v>
      </c>
      <c r="D52" s="30">
        <v>3</v>
      </c>
      <c r="E52" s="209">
        <v>4</v>
      </c>
      <c r="F52" s="209"/>
      <c r="G52" s="209"/>
      <c r="H52" s="209"/>
      <c r="I52" s="209"/>
      <c r="J52" s="209"/>
      <c r="K52" s="209"/>
      <c r="L52" s="209"/>
      <c r="M52" s="209"/>
      <c r="N52" s="209"/>
      <c r="O52" s="209">
        <v>5</v>
      </c>
      <c r="P52" s="209"/>
      <c r="Q52" s="247">
        <v>6</v>
      </c>
      <c r="R52" s="247"/>
      <c r="S52" s="144">
        <v>7</v>
      </c>
      <c r="T52" s="144"/>
    </row>
    <row r="53" spans="2:20" ht="18.75" customHeight="1">
      <c r="B53" s="30"/>
      <c r="C53" s="30"/>
      <c r="D53" s="30"/>
      <c r="E53" s="229" t="s">
        <v>67</v>
      </c>
      <c r="F53" s="167"/>
      <c r="G53" s="167"/>
      <c r="H53" s="167"/>
      <c r="I53" s="167"/>
      <c r="J53" s="167"/>
      <c r="K53" s="167"/>
      <c r="L53" s="167"/>
      <c r="M53" s="167"/>
      <c r="N53" s="168"/>
      <c r="O53" s="205"/>
      <c r="P53" s="207"/>
      <c r="Q53" s="227">
        <f>SUM(Q54:R56)</f>
        <v>40706.413</v>
      </c>
      <c r="R53" s="228"/>
      <c r="S53" s="251">
        <f aca="true" t="shared" si="0" ref="S53:S59">Q53</f>
        <v>40706.413</v>
      </c>
      <c r="T53" s="252"/>
    </row>
    <row r="54" spans="2:20" ht="19.5" customHeight="1">
      <c r="B54" s="29">
        <v>1</v>
      </c>
      <c r="C54" s="30">
        <v>4016021</v>
      </c>
      <c r="D54" s="72" t="s">
        <v>626</v>
      </c>
      <c r="E54" s="143" t="s">
        <v>275</v>
      </c>
      <c r="F54" s="143"/>
      <c r="G54" s="143"/>
      <c r="H54" s="143"/>
      <c r="I54" s="143"/>
      <c r="J54" s="143"/>
      <c r="K54" s="143"/>
      <c r="L54" s="143"/>
      <c r="M54" s="143"/>
      <c r="N54" s="143"/>
      <c r="O54" s="250"/>
      <c r="P54" s="250"/>
      <c r="Q54" s="248">
        <f>9000+250+1100+222.673-1038.26236+926.66236+2+91+18.6+134.2+52.844-926.66236+97.76236+700+75.596</f>
        <v>10706.413</v>
      </c>
      <c r="R54" s="249"/>
      <c r="S54" s="255">
        <f t="shared" si="0"/>
        <v>10706.413</v>
      </c>
      <c r="T54" s="255"/>
    </row>
    <row r="55" spans="2:20" ht="19.5" customHeight="1">
      <c r="B55" s="29">
        <v>2</v>
      </c>
      <c r="C55" s="30">
        <v>4016021</v>
      </c>
      <c r="D55" s="72" t="s">
        <v>626</v>
      </c>
      <c r="E55" s="143" t="s">
        <v>276</v>
      </c>
      <c r="F55" s="143"/>
      <c r="G55" s="143"/>
      <c r="H55" s="143"/>
      <c r="I55" s="143"/>
      <c r="J55" s="143"/>
      <c r="K55" s="143"/>
      <c r="L55" s="143"/>
      <c r="M55" s="143"/>
      <c r="N55" s="143"/>
      <c r="O55" s="250"/>
      <c r="P55" s="250"/>
      <c r="Q55" s="256">
        <v>2000</v>
      </c>
      <c r="R55" s="257"/>
      <c r="S55" s="250">
        <f t="shared" si="0"/>
        <v>2000</v>
      </c>
      <c r="T55" s="250"/>
    </row>
    <row r="56" spans="2:20" ht="19.5" customHeight="1">
      <c r="B56" s="29">
        <v>3</v>
      </c>
      <c r="C56" s="30">
        <v>4016021</v>
      </c>
      <c r="D56" s="72" t="s">
        <v>626</v>
      </c>
      <c r="E56" s="143" t="s">
        <v>277</v>
      </c>
      <c r="F56" s="143"/>
      <c r="G56" s="143"/>
      <c r="H56" s="143"/>
      <c r="I56" s="143"/>
      <c r="J56" s="143"/>
      <c r="K56" s="143"/>
      <c r="L56" s="143"/>
      <c r="M56" s="143"/>
      <c r="N56" s="143"/>
      <c r="O56" s="250"/>
      <c r="P56" s="250"/>
      <c r="Q56" s="256">
        <v>28000</v>
      </c>
      <c r="R56" s="257"/>
      <c r="S56" s="250">
        <f t="shared" si="0"/>
        <v>28000</v>
      </c>
      <c r="T56" s="250"/>
    </row>
    <row r="57" spans="2:20" ht="36.75" customHeight="1">
      <c r="B57" s="29"/>
      <c r="C57" s="30"/>
      <c r="D57" s="100"/>
      <c r="E57" s="264" t="s">
        <v>68</v>
      </c>
      <c r="F57" s="265"/>
      <c r="G57" s="265"/>
      <c r="H57" s="265"/>
      <c r="I57" s="265"/>
      <c r="J57" s="265"/>
      <c r="K57" s="265"/>
      <c r="L57" s="265"/>
      <c r="M57" s="265"/>
      <c r="N57" s="266"/>
      <c r="O57" s="250"/>
      <c r="P57" s="250"/>
      <c r="Q57" s="253">
        <f>Q58</f>
        <v>1289.031</v>
      </c>
      <c r="R57" s="254"/>
      <c r="S57" s="253">
        <f t="shared" si="0"/>
        <v>1289.031</v>
      </c>
      <c r="T57" s="254"/>
    </row>
    <row r="58" spans="2:20" ht="34.5" customHeight="1">
      <c r="B58" s="29">
        <v>1</v>
      </c>
      <c r="C58" s="30">
        <v>4016022</v>
      </c>
      <c r="D58" s="77" t="s">
        <v>626</v>
      </c>
      <c r="E58" s="261" t="s">
        <v>278</v>
      </c>
      <c r="F58" s="262"/>
      <c r="G58" s="262"/>
      <c r="H58" s="262"/>
      <c r="I58" s="262"/>
      <c r="J58" s="262"/>
      <c r="K58" s="262"/>
      <c r="L58" s="262"/>
      <c r="M58" s="262"/>
      <c r="N58" s="263"/>
      <c r="O58" s="250"/>
      <c r="P58" s="250"/>
      <c r="Q58" s="248">
        <f>1053.727+700-700+310.9-75.596</f>
        <v>1289.031</v>
      </c>
      <c r="R58" s="249"/>
      <c r="S58" s="248">
        <f t="shared" si="0"/>
        <v>1289.031</v>
      </c>
      <c r="T58" s="249"/>
    </row>
    <row r="59" spans="2:20" ht="21.75" customHeight="1">
      <c r="B59" s="29"/>
      <c r="C59" s="30"/>
      <c r="D59" s="73"/>
      <c r="E59" s="259" t="s">
        <v>678</v>
      </c>
      <c r="F59" s="259"/>
      <c r="G59" s="259"/>
      <c r="H59" s="259"/>
      <c r="I59" s="259"/>
      <c r="J59" s="259"/>
      <c r="K59" s="259"/>
      <c r="L59" s="259"/>
      <c r="M59" s="259"/>
      <c r="N59" s="259"/>
      <c r="O59" s="260">
        <v>0</v>
      </c>
      <c r="P59" s="260"/>
      <c r="Q59" s="258">
        <f>Q53+Q57</f>
        <v>41995.444</v>
      </c>
      <c r="R59" s="258"/>
      <c r="S59" s="258">
        <f t="shared" si="0"/>
        <v>41995.444</v>
      </c>
      <c r="T59" s="258"/>
    </row>
    <row r="61" spans="1:2" ht="15.75">
      <c r="A61" s="10" t="s">
        <v>713</v>
      </c>
      <c r="B61" s="21" t="s">
        <v>231</v>
      </c>
    </row>
    <row r="62" ht="15">
      <c r="O62" s="37" t="s">
        <v>672</v>
      </c>
    </row>
    <row r="63" spans="2:16" ht="34.5" customHeight="1">
      <c r="B63" s="57" t="s">
        <v>730</v>
      </c>
      <c r="C63" s="58"/>
      <c r="D63" s="58"/>
      <c r="E63" s="58"/>
      <c r="F63" s="58"/>
      <c r="G63" s="58"/>
      <c r="H63" s="59"/>
      <c r="I63" s="174" t="s">
        <v>721</v>
      </c>
      <c r="J63" s="174"/>
      <c r="K63" s="209" t="s">
        <v>731</v>
      </c>
      <c r="L63" s="209"/>
      <c r="M63" s="144" t="s">
        <v>732</v>
      </c>
      <c r="N63" s="144"/>
      <c r="O63" s="144" t="s">
        <v>686</v>
      </c>
      <c r="P63" s="144"/>
    </row>
    <row r="64" spans="2:16" ht="17.25" customHeight="1">
      <c r="B64" s="267">
        <v>1</v>
      </c>
      <c r="C64" s="268"/>
      <c r="D64" s="268"/>
      <c r="E64" s="268"/>
      <c r="F64" s="268"/>
      <c r="G64" s="268"/>
      <c r="H64" s="269"/>
      <c r="I64" s="174">
        <v>2</v>
      </c>
      <c r="J64" s="174"/>
      <c r="K64" s="209">
        <v>3</v>
      </c>
      <c r="L64" s="209"/>
      <c r="M64" s="144">
        <v>4</v>
      </c>
      <c r="N64" s="144"/>
      <c r="O64" s="144">
        <v>5</v>
      </c>
      <c r="P64" s="144"/>
    </row>
    <row r="65" spans="2:16" ht="27" customHeight="1">
      <c r="B65" s="198" t="s">
        <v>109</v>
      </c>
      <c r="C65" s="199"/>
      <c r="D65" s="199"/>
      <c r="E65" s="199"/>
      <c r="F65" s="199"/>
      <c r="G65" s="199"/>
      <c r="H65" s="200"/>
      <c r="I65" s="174">
        <v>4016021</v>
      </c>
      <c r="J65" s="174"/>
      <c r="K65" s="174"/>
      <c r="L65" s="174"/>
      <c r="M65" s="204">
        <f>Q53</f>
        <v>40706.413</v>
      </c>
      <c r="N65" s="204"/>
      <c r="O65" s="204">
        <f>M65</f>
        <v>40706.413</v>
      </c>
      <c r="P65" s="204"/>
    </row>
    <row r="66" spans="2:16" ht="25.5" customHeight="1">
      <c r="B66" s="201"/>
      <c r="C66" s="202"/>
      <c r="D66" s="202"/>
      <c r="E66" s="202"/>
      <c r="F66" s="202"/>
      <c r="G66" s="202"/>
      <c r="H66" s="203"/>
      <c r="I66" s="174">
        <v>4016022</v>
      </c>
      <c r="J66" s="174"/>
      <c r="K66" s="174"/>
      <c r="L66" s="174"/>
      <c r="M66" s="204">
        <f>Q57</f>
        <v>1289.031</v>
      </c>
      <c r="N66" s="204"/>
      <c r="O66" s="204">
        <f>M66</f>
        <v>1289.031</v>
      </c>
      <c r="P66" s="204"/>
    </row>
    <row r="67" spans="2:16" ht="20.25" customHeight="1">
      <c r="B67" s="193" t="s">
        <v>728</v>
      </c>
      <c r="C67" s="194"/>
      <c r="D67" s="194"/>
      <c r="E67" s="194"/>
      <c r="F67" s="194"/>
      <c r="G67" s="194"/>
      <c r="H67" s="195"/>
      <c r="I67" s="174"/>
      <c r="J67" s="174"/>
      <c r="K67" s="174"/>
      <c r="L67" s="174"/>
      <c r="M67" s="208"/>
      <c r="N67" s="208"/>
      <c r="O67" s="208"/>
      <c r="P67" s="208"/>
    </row>
    <row r="68" spans="2:16" ht="18.75" customHeight="1">
      <c r="B68" s="193" t="s">
        <v>729</v>
      </c>
      <c r="C68" s="194"/>
      <c r="D68" s="194"/>
      <c r="E68" s="194"/>
      <c r="F68" s="194"/>
      <c r="G68" s="194"/>
      <c r="H68" s="195"/>
      <c r="I68" s="174"/>
      <c r="J68" s="174"/>
      <c r="K68" s="174"/>
      <c r="L68" s="174"/>
      <c r="M68" s="208"/>
      <c r="N68" s="208"/>
      <c r="O68" s="208"/>
      <c r="P68" s="208"/>
    </row>
    <row r="69" spans="2:16" ht="17.25" customHeight="1">
      <c r="B69" s="193" t="s">
        <v>678</v>
      </c>
      <c r="C69" s="194"/>
      <c r="D69" s="194"/>
      <c r="E69" s="194"/>
      <c r="F69" s="194"/>
      <c r="G69" s="194"/>
      <c r="H69" s="195"/>
      <c r="I69" s="174"/>
      <c r="J69" s="174"/>
      <c r="K69" s="174"/>
      <c r="L69" s="174"/>
      <c r="M69" s="204">
        <f>M65+M66</f>
        <v>41995.444</v>
      </c>
      <c r="N69" s="204"/>
      <c r="O69" s="204">
        <f>M69</f>
        <v>41995.444</v>
      </c>
      <c r="P69" s="204"/>
    </row>
    <row r="70" spans="1:9" ht="7.5" customHeight="1">
      <c r="A70" s="31"/>
      <c r="B70" s="31"/>
      <c r="C70" s="31"/>
      <c r="D70" s="31"/>
      <c r="E70" s="31"/>
      <c r="F70" s="31"/>
      <c r="G70" s="31"/>
      <c r="H70" s="31"/>
      <c r="I70" s="31"/>
    </row>
    <row r="71" spans="1:3" ht="15.75">
      <c r="A71" s="10" t="s">
        <v>714</v>
      </c>
      <c r="B71" s="21" t="s">
        <v>724</v>
      </c>
      <c r="C71" s="2"/>
    </row>
    <row r="72" ht="6.75" customHeight="1"/>
    <row r="73" spans="1:20" ht="36" customHeight="1">
      <c r="A73" s="36"/>
      <c r="B73" s="30" t="s">
        <v>683</v>
      </c>
      <c r="C73" s="30" t="s">
        <v>721</v>
      </c>
      <c r="D73" s="144" t="s">
        <v>225</v>
      </c>
      <c r="E73" s="144"/>
      <c r="F73" s="144"/>
      <c r="G73" s="144"/>
      <c r="H73" s="144"/>
      <c r="I73" s="144"/>
      <c r="J73" s="144"/>
      <c r="K73" s="144"/>
      <c r="L73" s="140" t="s">
        <v>715</v>
      </c>
      <c r="M73" s="141"/>
      <c r="N73" s="144" t="s">
        <v>687</v>
      </c>
      <c r="O73" s="144"/>
      <c r="P73" s="144"/>
      <c r="Q73" s="144"/>
      <c r="R73" s="144" t="s">
        <v>733</v>
      </c>
      <c r="S73" s="187"/>
      <c r="T73" s="62"/>
    </row>
    <row r="74" spans="1:20" ht="15" customHeight="1">
      <c r="A74" s="36"/>
      <c r="B74" s="30">
        <v>1</v>
      </c>
      <c r="C74" s="30">
        <v>2</v>
      </c>
      <c r="D74" s="205">
        <v>3</v>
      </c>
      <c r="E74" s="206"/>
      <c r="F74" s="206"/>
      <c r="G74" s="206"/>
      <c r="H74" s="206"/>
      <c r="I74" s="206"/>
      <c r="J74" s="206"/>
      <c r="K74" s="207"/>
      <c r="L74" s="140">
        <v>4</v>
      </c>
      <c r="M74" s="141"/>
      <c r="N74" s="144">
        <v>5</v>
      </c>
      <c r="O74" s="144"/>
      <c r="P74" s="144"/>
      <c r="Q74" s="144"/>
      <c r="R74" s="144">
        <v>6</v>
      </c>
      <c r="S74" s="187"/>
      <c r="T74" s="62"/>
    </row>
    <row r="75" spans="1:20" ht="21.75" customHeight="1">
      <c r="A75" s="36"/>
      <c r="B75" s="30"/>
      <c r="C75" s="32">
        <v>4016021</v>
      </c>
      <c r="D75" s="178" t="s">
        <v>3</v>
      </c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80"/>
      <c r="T75" s="62"/>
    </row>
    <row r="76" spans="1:20" ht="18.75" customHeight="1">
      <c r="A76" s="36"/>
      <c r="B76" s="30"/>
      <c r="C76" s="32"/>
      <c r="D76" s="178" t="s">
        <v>393</v>
      </c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  <c r="S76" s="180"/>
      <c r="T76" s="62"/>
    </row>
    <row r="77" spans="1:20" ht="21.75" customHeight="1">
      <c r="A77" s="39"/>
      <c r="B77" s="30">
        <v>1</v>
      </c>
      <c r="C77" s="41"/>
      <c r="D77" s="181" t="s">
        <v>688</v>
      </c>
      <c r="E77" s="182"/>
      <c r="F77" s="182"/>
      <c r="G77" s="182"/>
      <c r="H77" s="182"/>
      <c r="I77" s="182"/>
      <c r="J77" s="182"/>
      <c r="K77" s="183"/>
      <c r="L77" s="140"/>
      <c r="M77" s="141"/>
      <c r="N77" s="144"/>
      <c r="O77" s="144"/>
      <c r="P77" s="144"/>
      <c r="Q77" s="144"/>
      <c r="R77" s="144"/>
      <c r="S77" s="187"/>
      <c r="T77" s="62"/>
    </row>
    <row r="78" spans="1:27" ht="30.75" customHeight="1">
      <c r="A78" s="39"/>
      <c r="B78" s="30"/>
      <c r="C78" s="30"/>
      <c r="D78" s="184" t="s">
        <v>670</v>
      </c>
      <c r="E78" s="185"/>
      <c r="F78" s="185"/>
      <c r="G78" s="185"/>
      <c r="H78" s="185"/>
      <c r="I78" s="185"/>
      <c r="J78" s="185"/>
      <c r="K78" s="186"/>
      <c r="L78" s="140" t="s">
        <v>690</v>
      </c>
      <c r="M78" s="141"/>
      <c r="N78" s="144" t="s">
        <v>568</v>
      </c>
      <c r="O78" s="144"/>
      <c r="P78" s="144"/>
      <c r="Q78" s="144"/>
      <c r="R78" s="196">
        <f>SUM(R79:S94)</f>
        <v>10706.413</v>
      </c>
      <c r="S78" s="197"/>
      <c r="T78" s="151"/>
      <c r="U78" s="152"/>
      <c r="W78" s="36"/>
      <c r="X78" s="36"/>
      <c r="Y78" s="36"/>
      <c r="Z78" s="36"/>
      <c r="AA78" s="36"/>
    </row>
    <row r="79" spans="1:27" ht="20.25" customHeight="1">
      <c r="A79" s="39"/>
      <c r="B79" s="30"/>
      <c r="C79" s="30"/>
      <c r="D79" s="192" t="s">
        <v>141</v>
      </c>
      <c r="E79" s="192"/>
      <c r="F79" s="192"/>
      <c r="G79" s="192"/>
      <c r="H79" s="192"/>
      <c r="I79" s="192"/>
      <c r="J79" s="192"/>
      <c r="K79" s="192"/>
      <c r="L79" s="140" t="s">
        <v>690</v>
      </c>
      <c r="M79" s="141"/>
      <c r="N79" s="144" t="s">
        <v>691</v>
      </c>
      <c r="O79" s="144"/>
      <c r="P79" s="144"/>
      <c r="Q79" s="144"/>
      <c r="R79" s="173">
        <v>341.05367</v>
      </c>
      <c r="S79" s="173"/>
      <c r="W79" s="36"/>
      <c r="X79" s="130"/>
      <c r="Y79" s="130"/>
      <c r="Z79" s="130"/>
      <c r="AA79" s="149"/>
    </row>
    <row r="80" spans="1:27" ht="19.5" customHeight="1">
      <c r="A80" s="39"/>
      <c r="B80" s="30"/>
      <c r="C80" s="30"/>
      <c r="D80" s="192" t="s">
        <v>135</v>
      </c>
      <c r="E80" s="192"/>
      <c r="F80" s="192"/>
      <c r="G80" s="192"/>
      <c r="H80" s="192"/>
      <c r="I80" s="192"/>
      <c r="J80" s="192"/>
      <c r="K80" s="192"/>
      <c r="L80" s="140" t="s">
        <v>690</v>
      </c>
      <c r="M80" s="141"/>
      <c r="N80" s="144" t="s">
        <v>691</v>
      </c>
      <c r="O80" s="144"/>
      <c r="P80" s="144"/>
      <c r="Q80" s="144"/>
      <c r="R80" s="172">
        <v>382</v>
      </c>
      <c r="S80" s="172"/>
      <c r="W80" s="36"/>
      <c r="X80" s="128"/>
      <c r="Y80" s="128"/>
      <c r="Z80" s="130"/>
      <c r="AA80" s="149"/>
    </row>
    <row r="81" spans="1:27" ht="20.25" customHeight="1">
      <c r="A81" s="39"/>
      <c r="B81" s="30"/>
      <c r="C81" s="30"/>
      <c r="D81" s="192" t="s">
        <v>136</v>
      </c>
      <c r="E81" s="192"/>
      <c r="F81" s="192"/>
      <c r="G81" s="192"/>
      <c r="H81" s="192"/>
      <c r="I81" s="192"/>
      <c r="J81" s="192"/>
      <c r="K81" s="192"/>
      <c r="L81" s="140" t="s">
        <v>690</v>
      </c>
      <c r="M81" s="141"/>
      <c r="N81" s="144" t="s">
        <v>691</v>
      </c>
      <c r="O81" s="144"/>
      <c r="P81" s="144"/>
      <c r="Q81" s="144"/>
      <c r="R81" s="172">
        <v>400</v>
      </c>
      <c r="S81" s="172"/>
      <c r="W81" s="36"/>
      <c r="X81" s="127"/>
      <c r="Y81" s="127"/>
      <c r="Z81" s="130"/>
      <c r="AA81" s="149"/>
    </row>
    <row r="82" spans="1:27" ht="19.5" customHeight="1">
      <c r="A82" s="39"/>
      <c r="B82" s="30"/>
      <c r="C82" s="30"/>
      <c r="D82" s="192" t="s">
        <v>377</v>
      </c>
      <c r="E82" s="192"/>
      <c r="F82" s="192"/>
      <c r="G82" s="192"/>
      <c r="H82" s="192"/>
      <c r="I82" s="192"/>
      <c r="J82" s="192"/>
      <c r="K82" s="192"/>
      <c r="L82" s="140" t="s">
        <v>690</v>
      </c>
      <c r="M82" s="141"/>
      <c r="N82" s="144" t="s">
        <v>691</v>
      </c>
      <c r="O82" s="144"/>
      <c r="P82" s="144"/>
      <c r="Q82" s="144"/>
      <c r="R82" s="173">
        <f>2004.16795+12+34.17837+11.39132</f>
        <v>2061.7376400000003</v>
      </c>
      <c r="S82" s="173"/>
      <c r="W82" s="36"/>
      <c r="X82" s="128"/>
      <c r="Y82" s="128"/>
      <c r="Z82" s="150"/>
      <c r="AA82" s="150"/>
    </row>
    <row r="83" spans="1:27" ht="35.25" customHeight="1">
      <c r="A83" s="39"/>
      <c r="B83" s="30"/>
      <c r="C83" s="30"/>
      <c r="D83" s="184" t="s">
        <v>52</v>
      </c>
      <c r="E83" s="185"/>
      <c r="F83" s="185"/>
      <c r="G83" s="185"/>
      <c r="H83" s="185"/>
      <c r="I83" s="185"/>
      <c r="J83" s="185"/>
      <c r="K83" s="186"/>
      <c r="L83" s="140" t="s">
        <v>690</v>
      </c>
      <c r="M83" s="141"/>
      <c r="N83" s="144" t="s">
        <v>691</v>
      </c>
      <c r="O83" s="144"/>
      <c r="P83" s="144"/>
      <c r="Q83" s="144"/>
      <c r="R83" s="172">
        <v>1462</v>
      </c>
      <c r="S83" s="172"/>
      <c r="W83" s="36"/>
      <c r="X83" s="127"/>
      <c r="Y83" s="127"/>
      <c r="Z83" s="130"/>
      <c r="AA83" s="130"/>
    </row>
    <row r="84" spans="1:27" ht="21" customHeight="1">
      <c r="A84" s="39"/>
      <c r="B84" s="30"/>
      <c r="C84" s="30"/>
      <c r="D84" s="161" t="s">
        <v>70</v>
      </c>
      <c r="E84" s="162"/>
      <c r="F84" s="162"/>
      <c r="G84" s="162"/>
      <c r="H84" s="162"/>
      <c r="I84" s="162"/>
      <c r="J84" s="162"/>
      <c r="K84" s="163"/>
      <c r="L84" s="140" t="s">
        <v>690</v>
      </c>
      <c r="M84" s="141"/>
      <c r="N84" s="144" t="s">
        <v>691</v>
      </c>
      <c r="O84" s="144"/>
      <c r="P84" s="144"/>
      <c r="Q84" s="144"/>
      <c r="R84" s="172">
        <v>188</v>
      </c>
      <c r="S84" s="172"/>
      <c r="W84" s="36"/>
      <c r="X84" s="127"/>
      <c r="Y84" s="127"/>
      <c r="Z84" s="130"/>
      <c r="AA84" s="130"/>
    </row>
    <row r="85" spans="1:27" ht="21" customHeight="1">
      <c r="A85" s="39"/>
      <c r="B85" s="30"/>
      <c r="C85" s="30"/>
      <c r="D85" s="184" t="s">
        <v>137</v>
      </c>
      <c r="E85" s="185"/>
      <c r="F85" s="185"/>
      <c r="G85" s="185"/>
      <c r="H85" s="185"/>
      <c r="I85" s="185"/>
      <c r="J85" s="185"/>
      <c r="K85" s="185"/>
      <c r="L85" s="140" t="s">
        <v>690</v>
      </c>
      <c r="M85" s="141"/>
      <c r="N85" s="144" t="s">
        <v>691</v>
      </c>
      <c r="O85" s="144"/>
      <c r="P85" s="144"/>
      <c r="Q85" s="144"/>
      <c r="R85" s="174">
        <f>2473.6463+834.2+71.3687+75.596</f>
        <v>3454.811</v>
      </c>
      <c r="S85" s="174"/>
      <c r="W85" s="36"/>
      <c r="X85" s="129"/>
      <c r="Y85" s="129"/>
      <c r="Z85" s="150"/>
      <c r="AA85" s="150"/>
    </row>
    <row r="86" spans="1:27" ht="36" customHeight="1">
      <c r="A86" s="39"/>
      <c r="B86" s="30"/>
      <c r="C86" s="30"/>
      <c r="D86" s="184" t="s">
        <v>138</v>
      </c>
      <c r="E86" s="185"/>
      <c r="F86" s="185"/>
      <c r="G86" s="185"/>
      <c r="H86" s="185"/>
      <c r="I86" s="185"/>
      <c r="J86" s="185"/>
      <c r="K86" s="185"/>
      <c r="L86" s="140" t="s">
        <v>690</v>
      </c>
      <c r="M86" s="141"/>
      <c r="N86" s="144" t="s">
        <v>691</v>
      </c>
      <c r="O86" s="144"/>
      <c r="P86" s="144"/>
      <c r="Q86" s="144"/>
      <c r="R86" s="175">
        <f>1100.71985+18.6</f>
        <v>1119.3198499999999</v>
      </c>
      <c r="S86" s="176"/>
      <c r="W86" s="36"/>
      <c r="X86" s="128"/>
      <c r="Y86" s="128"/>
      <c r="Z86" s="130"/>
      <c r="AA86" s="149"/>
    </row>
    <row r="87" spans="1:27" ht="37.5" customHeight="1">
      <c r="A87" s="39"/>
      <c r="B87" s="30"/>
      <c r="C87" s="30"/>
      <c r="D87" s="184" t="s">
        <v>375</v>
      </c>
      <c r="E87" s="185"/>
      <c r="F87" s="185"/>
      <c r="G87" s="185"/>
      <c r="H87" s="185"/>
      <c r="I87" s="185"/>
      <c r="J87" s="185"/>
      <c r="K87" s="185"/>
      <c r="L87" s="140" t="s">
        <v>690</v>
      </c>
      <c r="M87" s="141"/>
      <c r="N87" s="144" t="s">
        <v>691</v>
      </c>
      <c r="O87" s="144"/>
      <c r="P87" s="144"/>
      <c r="Q87" s="144"/>
      <c r="R87" s="174">
        <v>0.985</v>
      </c>
      <c r="S87" s="174"/>
      <c r="W87" s="36"/>
      <c r="X87" s="130"/>
      <c r="Y87" s="130"/>
      <c r="Z87" s="130"/>
      <c r="AA87" s="149"/>
    </row>
    <row r="88" spans="1:27" ht="33" customHeight="1">
      <c r="A88" s="39"/>
      <c r="B88" s="32"/>
      <c r="C88" s="30"/>
      <c r="D88" s="184" t="s">
        <v>134</v>
      </c>
      <c r="E88" s="185"/>
      <c r="F88" s="185"/>
      <c r="G88" s="185"/>
      <c r="H88" s="185"/>
      <c r="I88" s="185"/>
      <c r="J88" s="185"/>
      <c r="K88" s="186"/>
      <c r="L88" s="140" t="s">
        <v>690</v>
      </c>
      <c r="M88" s="141"/>
      <c r="N88" s="144" t="s">
        <v>691</v>
      </c>
      <c r="O88" s="144"/>
      <c r="P88" s="144"/>
      <c r="Q88" s="144"/>
      <c r="R88" s="172">
        <v>250</v>
      </c>
      <c r="S88" s="172"/>
      <c r="W88" s="36"/>
      <c r="X88" s="127"/>
      <c r="Y88" s="127"/>
      <c r="Z88" s="130"/>
      <c r="AA88" s="130"/>
    </row>
    <row r="89" spans="1:27" ht="19.5" customHeight="1">
      <c r="A89" s="39"/>
      <c r="B89" s="32"/>
      <c r="C89" s="30"/>
      <c r="D89" s="161" t="s">
        <v>69</v>
      </c>
      <c r="E89" s="162"/>
      <c r="F89" s="162"/>
      <c r="G89" s="162"/>
      <c r="H89" s="162"/>
      <c r="I89" s="162"/>
      <c r="J89" s="162"/>
      <c r="K89" s="163"/>
      <c r="L89" s="140" t="s">
        <v>690</v>
      </c>
      <c r="M89" s="141"/>
      <c r="N89" s="144" t="s">
        <v>691</v>
      </c>
      <c r="O89" s="144"/>
      <c r="P89" s="144"/>
      <c r="Q89" s="144"/>
      <c r="R89" s="173">
        <v>606.99694</v>
      </c>
      <c r="S89" s="173"/>
      <c r="W89" s="36"/>
      <c r="X89" s="127"/>
      <c r="Y89" s="127"/>
      <c r="Z89" s="130"/>
      <c r="AA89" s="130"/>
    </row>
    <row r="90" spans="1:27" ht="19.5" customHeight="1">
      <c r="A90" s="39"/>
      <c r="B90" s="32"/>
      <c r="C90" s="30"/>
      <c r="D90" s="161" t="s">
        <v>71</v>
      </c>
      <c r="E90" s="162"/>
      <c r="F90" s="162"/>
      <c r="G90" s="162"/>
      <c r="H90" s="162"/>
      <c r="I90" s="162"/>
      <c r="J90" s="162"/>
      <c r="K90" s="163"/>
      <c r="L90" s="140" t="s">
        <v>690</v>
      </c>
      <c r="M90" s="141"/>
      <c r="N90" s="144" t="s">
        <v>217</v>
      </c>
      <c r="O90" s="144"/>
      <c r="P90" s="144"/>
      <c r="Q90" s="144"/>
      <c r="R90" s="174">
        <v>0.513</v>
      </c>
      <c r="S90" s="174"/>
      <c r="W90" s="36"/>
      <c r="X90" s="127"/>
      <c r="Y90" s="127"/>
      <c r="Z90" s="130"/>
      <c r="AA90" s="130"/>
    </row>
    <row r="91" spans="1:27" ht="33" customHeight="1">
      <c r="A91" s="39"/>
      <c r="B91" s="32"/>
      <c r="C91" s="30"/>
      <c r="D91" s="184" t="s">
        <v>83</v>
      </c>
      <c r="E91" s="185"/>
      <c r="F91" s="185"/>
      <c r="G91" s="185"/>
      <c r="H91" s="185"/>
      <c r="I91" s="185"/>
      <c r="J91" s="185"/>
      <c r="K91" s="186"/>
      <c r="L91" s="140" t="s">
        <v>690</v>
      </c>
      <c r="M91" s="141"/>
      <c r="N91" s="144" t="s">
        <v>691</v>
      </c>
      <c r="O91" s="144"/>
      <c r="P91" s="144"/>
      <c r="Q91" s="144"/>
      <c r="R91" s="174">
        <v>222.673</v>
      </c>
      <c r="S91" s="174"/>
      <c r="W91" s="36"/>
      <c r="X91" s="130"/>
      <c r="Y91" s="130"/>
      <c r="Z91" s="130"/>
      <c r="AA91" s="130"/>
    </row>
    <row r="92" spans="1:27" ht="24.75" customHeight="1">
      <c r="A92" s="39"/>
      <c r="B92" s="32"/>
      <c r="C92" s="30"/>
      <c r="D92" s="161" t="s">
        <v>5</v>
      </c>
      <c r="E92" s="162"/>
      <c r="F92" s="162"/>
      <c r="G92" s="162"/>
      <c r="H92" s="162"/>
      <c r="I92" s="162"/>
      <c r="J92" s="162"/>
      <c r="K92" s="163"/>
      <c r="L92" s="140" t="s">
        <v>690</v>
      </c>
      <c r="M92" s="141"/>
      <c r="N92" s="144" t="s">
        <v>691</v>
      </c>
      <c r="O92" s="144"/>
      <c r="P92" s="144"/>
      <c r="Q92" s="144"/>
      <c r="R92" s="173">
        <v>15.71654</v>
      </c>
      <c r="S92" s="173"/>
      <c r="W92" s="36"/>
      <c r="X92" s="127"/>
      <c r="Y92" s="127"/>
      <c r="Z92" s="130"/>
      <c r="AA92" s="130"/>
    </row>
    <row r="93" spans="1:27" ht="34.5" customHeight="1">
      <c r="A93" s="39"/>
      <c r="B93" s="32"/>
      <c r="C93" s="30"/>
      <c r="D93" s="184" t="s">
        <v>253</v>
      </c>
      <c r="E93" s="185"/>
      <c r="F93" s="185"/>
      <c r="G93" s="185"/>
      <c r="H93" s="185"/>
      <c r="I93" s="185"/>
      <c r="J93" s="185"/>
      <c r="K93" s="186"/>
      <c r="L93" s="140" t="s">
        <v>690</v>
      </c>
      <c r="M93" s="141"/>
      <c r="N93" s="144" t="s">
        <v>691</v>
      </c>
      <c r="O93" s="144"/>
      <c r="P93" s="144"/>
      <c r="Q93" s="144"/>
      <c r="R93" s="172">
        <v>50</v>
      </c>
      <c r="S93" s="172"/>
      <c r="W93" s="36"/>
      <c r="X93" s="128"/>
      <c r="Y93" s="128"/>
      <c r="Z93" s="122"/>
      <c r="AA93" s="122"/>
    </row>
    <row r="94" spans="1:27" ht="26.25" customHeight="1">
      <c r="A94" s="39"/>
      <c r="B94" s="32"/>
      <c r="C94" s="30"/>
      <c r="D94" s="184" t="s">
        <v>284</v>
      </c>
      <c r="E94" s="185"/>
      <c r="F94" s="185"/>
      <c r="G94" s="185"/>
      <c r="H94" s="185"/>
      <c r="I94" s="185"/>
      <c r="J94" s="185"/>
      <c r="K94" s="186"/>
      <c r="L94" s="140" t="s">
        <v>690</v>
      </c>
      <c r="M94" s="141"/>
      <c r="N94" s="144" t="s">
        <v>691</v>
      </c>
      <c r="O94" s="144"/>
      <c r="P94" s="144"/>
      <c r="Q94" s="144"/>
      <c r="R94" s="173">
        <f>97.76236+52.844</f>
        <v>150.60636</v>
      </c>
      <c r="S94" s="173"/>
      <c r="W94" s="36"/>
      <c r="X94" s="36"/>
      <c r="Y94" s="36"/>
      <c r="Z94" s="122"/>
      <c r="AA94" s="122"/>
    </row>
    <row r="95" spans="1:22" ht="19.5" customHeight="1">
      <c r="A95" s="39"/>
      <c r="B95" s="30"/>
      <c r="C95" s="30"/>
      <c r="D95" s="161" t="s">
        <v>627</v>
      </c>
      <c r="E95" s="162"/>
      <c r="F95" s="162"/>
      <c r="G95" s="162"/>
      <c r="H95" s="162"/>
      <c r="I95" s="162"/>
      <c r="J95" s="162"/>
      <c r="K95" s="163"/>
      <c r="L95" s="140"/>
      <c r="M95" s="141"/>
      <c r="N95" s="140"/>
      <c r="O95" s="142"/>
      <c r="P95" s="142"/>
      <c r="Q95" s="141"/>
      <c r="R95" s="164"/>
      <c r="S95" s="165"/>
      <c r="T95" s="118"/>
      <c r="U95" s="119"/>
      <c r="V95" s="36"/>
    </row>
    <row r="96" spans="1:21" ht="32.25" customHeight="1">
      <c r="A96" s="39"/>
      <c r="B96" s="30"/>
      <c r="C96" s="30"/>
      <c r="D96" s="161" t="s">
        <v>629</v>
      </c>
      <c r="E96" s="162"/>
      <c r="F96" s="162"/>
      <c r="G96" s="162"/>
      <c r="H96" s="162"/>
      <c r="I96" s="162"/>
      <c r="J96" s="162"/>
      <c r="K96" s="163"/>
      <c r="L96" s="140" t="s">
        <v>737</v>
      </c>
      <c r="M96" s="141"/>
      <c r="N96" s="144" t="s">
        <v>207</v>
      </c>
      <c r="O96" s="144"/>
      <c r="P96" s="144"/>
      <c r="Q96" s="144"/>
      <c r="R96" s="153">
        <v>6</v>
      </c>
      <c r="S96" s="154"/>
      <c r="T96" s="120"/>
      <c r="U96" s="121"/>
    </row>
    <row r="97" spans="1:21" ht="18" customHeight="1">
      <c r="A97" s="39"/>
      <c r="B97" s="30"/>
      <c r="C97" s="30"/>
      <c r="D97" s="184" t="s">
        <v>628</v>
      </c>
      <c r="E97" s="185"/>
      <c r="F97" s="185"/>
      <c r="G97" s="185"/>
      <c r="H97" s="185"/>
      <c r="I97" s="185"/>
      <c r="J97" s="185"/>
      <c r="K97" s="186"/>
      <c r="L97" s="140" t="s">
        <v>737</v>
      </c>
      <c r="M97" s="141"/>
      <c r="N97" s="144" t="s">
        <v>209</v>
      </c>
      <c r="O97" s="144"/>
      <c r="P97" s="144"/>
      <c r="Q97" s="144"/>
      <c r="R97" s="153">
        <v>18</v>
      </c>
      <c r="S97" s="154"/>
      <c r="T97" s="146"/>
      <c r="U97" s="146"/>
    </row>
    <row r="98" spans="1:21" ht="19.5" customHeight="1">
      <c r="A98" s="39"/>
      <c r="B98" s="30"/>
      <c r="C98" s="30"/>
      <c r="D98" s="161" t="s">
        <v>571</v>
      </c>
      <c r="E98" s="162"/>
      <c r="F98" s="162"/>
      <c r="G98" s="162"/>
      <c r="H98" s="162"/>
      <c r="I98" s="162"/>
      <c r="J98" s="162"/>
      <c r="K98" s="163"/>
      <c r="L98" s="140" t="s">
        <v>737</v>
      </c>
      <c r="M98" s="141"/>
      <c r="N98" s="170" t="s">
        <v>210</v>
      </c>
      <c r="O98" s="170"/>
      <c r="P98" s="170"/>
      <c r="Q98" s="170"/>
      <c r="R98" s="153">
        <v>131</v>
      </c>
      <c r="S98" s="154"/>
      <c r="T98" s="146"/>
      <c r="U98" s="146"/>
    </row>
    <row r="99" spans="1:21" ht="22.5" customHeight="1">
      <c r="A99" s="39"/>
      <c r="B99" s="30"/>
      <c r="C99" s="30"/>
      <c r="D99" s="161" t="s">
        <v>365</v>
      </c>
      <c r="E99" s="162"/>
      <c r="F99" s="162"/>
      <c r="G99" s="162"/>
      <c r="H99" s="162"/>
      <c r="I99" s="162"/>
      <c r="J99" s="162"/>
      <c r="K99" s="163"/>
      <c r="L99" s="140" t="s">
        <v>737</v>
      </c>
      <c r="M99" s="141"/>
      <c r="N99" s="170" t="s">
        <v>210</v>
      </c>
      <c r="O99" s="170"/>
      <c r="P99" s="170"/>
      <c r="Q99" s="170"/>
      <c r="R99" s="153">
        <v>5</v>
      </c>
      <c r="S99" s="154"/>
      <c r="T99" s="146"/>
      <c r="U99" s="146"/>
    </row>
    <row r="100" spans="1:21" ht="50.25" customHeight="1">
      <c r="A100" s="39"/>
      <c r="B100" s="30"/>
      <c r="C100" s="30"/>
      <c r="D100" s="161" t="s">
        <v>54</v>
      </c>
      <c r="E100" s="162"/>
      <c r="F100" s="162"/>
      <c r="G100" s="162"/>
      <c r="H100" s="162"/>
      <c r="I100" s="162"/>
      <c r="J100" s="162"/>
      <c r="K100" s="163"/>
      <c r="L100" s="140" t="s">
        <v>737</v>
      </c>
      <c r="M100" s="141"/>
      <c r="N100" s="169" t="s">
        <v>209</v>
      </c>
      <c r="O100" s="169"/>
      <c r="P100" s="169"/>
      <c r="Q100" s="169"/>
      <c r="R100" s="153">
        <v>109</v>
      </c>
      <c r="S100" s="154"/>
      <c r="T100" s="146"/>
      <c r="U100" s="146"/>
    </row>
    <row r="101" spans="1:21" ht="34.5" customHeight="1">
      <c r="A101" s="39"/>
      <c r="B101" s="30"/>
      <c r="C101" s="30"/>
      <c r="D101" s="161" t="s">
        <v>73</v>
      </c>
      <c r="E101" s="162"/>
      <c r="F101" s="162"/>
      <c r="G101" s="162"/>
      <c r="H101" s="162"/>
      <c r="I101" s="162"/>
      <c r="J101" s="162"/>
      <c r="K101" s="163"/>
      <c r="L101" s="140" t="s">
        <v>737</v>
      </c>
      <c r="M101" s="141"/>
      <c r="N101" s="170" t="s">
        <v>780</v>
      </c>
      <c r="O101" s="170"/>
      <c r="P101" s="170"/>
      <c r="Q101" s="170"/>
      <c r="R101" s="153">
        <v>1</v>
      </c>
      <c r="S101" s="154"/>
      <c r="T101" s="146"/>
      <c r="U101" s="146"/>
    </row>
    <row r="102" spans="1:21" ht="35.25" customHeight="1">
      <c r="A102" s="39"/>
      <c r="B102" s="30"/>
      <c r="C102" s="30"/>
      <c r="D102" s="161" t="s">
        <v>630</v>
      </c>
      <c r="E102" s="162"/>
      <c r="F102" s="162"/>
      <c r="G102" s="162"/>
      <c r="H102" s="162"/>
      <c r="I102" s="162"/>
      <c r="J102" s="162"/>
      <c r="K102" s="163"/>
      <c r="L102" s="140" t="s">
        <v>631</v>
      </c>
      <c r="M102" s="141"/>
      <c r="N102" s="170" t="s">
        <v>209</v>
      </c>
      <c r="O102" s="170"/>
      <c r="P102" s="170"/>
      <c r="Q102" s="170"/>
      <c r="R102" s="158">
        <f>11.417+0.23+0.348+1.26+(1.2*6/1000)</f>
        <v>13.2622</v>
      </c>
      <c r="S102" s="159"/>
      <c r="T102" s="130"/>
      <c r="U102" s="130"/>
    </row>
    <row r="103" spans="1:25" ht="36.75" customHeight="1">
      <c r="A103" s="39"/>
      <c r="B103" s="30"/>
      <c r="C103" s="30"/>
      <c r="D103" s="161" t="s">
        <v>570</v>
      </c>
      <c r="E103" s="162"/>
      <c r="F103" s="162"/>
      <c r="G103" s="162"/>
      <c r="H103" s="162"/>
      <c r="I103" s="162"/>
      <c r="J103" s="162"/>
      <c r="K103" s="163"/>
      <c r="L103" s="140" t="s">
        <v>569</v>
      </c>
      <c r="M103" s="141"/>
      <c r="N103" s="170" t="s">
        <v>209</v>
      </c>
      <c r="O103" s="170"/>
      <c r="P103" s="170"/>
      <c r="Q103" s="170"/>
      <c r="R103" s="164">
        <v>2.374</v>
      </c>
      <c r="S103" s="165"/>
      <c r="T103" s="127"/>
      <c r="U103" s="127"/>
      <c r="X103" s="127"/>
      <c r="Y103" s="127"/>
    </row>
    <row r="104" spans="1:21" ht="20.25" customHeight="1">
      <c r="A104" s="39"/>
      <c r="B104" s="30"/>
      <c r="C104" s="30"/>
      <c r="D104" s="161" t="s">
        <v>193</v>
      </c>
      <c r="E104" s="162"/>
      <c r="F104" s="162"/>
      <c r="G104" s="162"/>
      <c r="H104" s="162"/>
      <c r="I104" s="162"/>
      <c r="J104" s="162"/>
      <c r="K104" s="163"/>
      <c r="L104" s="140" t="s">
        <v>737</v>
      </c>
      <c r="M104" s="141"/>
      <c r="N104" s="140" t="s">
        <v>376</v>
      </c>
      <c r="O104" s="142"/>
      <c r="P104" s="142"/>
      <c r="Q104" s="141"/>
      <c r="R104" s="153">
        <v>3</v>
      </c>
      <c r="S104" s="154"/>
      <c r="T104" s="146"/>
      <c r="U104" s="146"/>
    </row>
    <row r="105" spans="1:21" ht="20.25" customHeight="1">
      <c r="A105" s="39"/>
      <c r="B105" s="30"/>
      <c r="C105" s="30"/>
      <c r="D105" s="161" t="s">
        <v>74</v>
      </c>
      <c r="E105" s="162"/>
      <c r="F105" s="162"/>
      <c r="G105" s="162"/>
      <c r="H105" s="162"/>
      <c r="I105" s="162"/>
      <c r="J105" s="162"/>
      <c r="K105" s="163"/>
      <c r="L105" s="140" t="s">
        <v>737</v>
      </c>
      <c r="M105" s="141"/>
      <c r="N105" s="170" t="s">
        <v>212</v>
      </c>
      <c r="O105" s="170"/>
      <c r="P105" s="170"/>
      <c r="Q105" s="170"/>
      <c r="R105" s="153">
        <v>2</v>
      </c>
      <c r="S105" s="154"/>
      <c r="T105" s="146"/>
      <c r="U105" s="146"/>
    </row>
    <row r="106" spans="1:21" ht="33.75" customHeight="1">
      <c r="A106" s="39"/>
      <c r="B106" s="30"/>
      <c r="C106" s="30"/>
      <c r="D106" s="161" t="s">
        <v>75</v>
      </c>
      <c r="E106" s="162"/>
      <c r="F106" s="162"/>
      <c r="G106" s="162"/>
      <c r="H106" s="162"/>
      <c r="I106" s="162"/>
      <c r="J106" s="162"/>
      <c r="K106" s="163"/>
      <c r="L106" s="140" t="s">
        <v>737</v>
      </c>
      <c r="M106" s="141"/>
      <c r="N106" s="170" t="s">
        <v>214</v>
      </c>
      <c r="O106" s="170"/>
      <c r="P106" s="170"/>
      <c r="Q106" s="170"/>
      <c r="R106" s="153">
        <v>1</v>
      </c>
      <c r="S106" s="154"/>
      <c r="T106" s="146"/>
      <c r="U106" s="146"/>
    </row>
    <row r="107" spans="1:21" ht="36" customHeight="1">
      <c r="A107" s="39"/>
      <c r="B107" s="30"/>
      <c r="C107" s="30"/>
      <c r="D107" s="192" t="s">
        <v>194</v>
      </c>
      <c r="E107" s="192"/>
      <c r="F107" s="192"/>
      <c r="G107" s="192"/>
      <c r="H107" s="192"/>
      <c r="I107" s="192"/>
      <c r="J107" s="192"/>
      <c r="K107" s="192"/>
      <c r="L107" s="144" t="s">
        <v>737</v>
      </c>
      <c r="M107" s="144"/>
      <c r="N107" s="170" t="s">
        <v>211</v>
      </c>
      <c r="O107" s="170"/>
      <c r="P107" s="170"/>
      <c r="Q107" s="170"/>
      <c r="R107" s="171">
        <v>2</v>
      </c>
      <c r="S107" s="171"/>
      <c r="T107" s="146"/>
      <c r="U107" s="146"/>
    </row>
    <row r="108" spans="1:21" ht="28.5" customHeight="1">
      <c r="A108" s="39"/>
      <c r="B108" s="30"/>
      <c r="C108" s="30"/>
      <c r="D108" s="161" t="s">
        <v>244</v>
      </c>
      <c r="E108" s="162"/>
      <c r="F108" s="162"/>
      <c r="G108" s="162"/>
      <c r="H108" s="162"/>
      <c r="I108" s="162"/>
      <c r="J108" s="162"/>
      <c r="K108" s="163"/>
      <c r="L108" s="140" t="s">
        <v>737</v>
      </c>
      <c r="M108" s="141"/>
      <c r="N108" s="144" t="s">
        <v>691</v>
      </c>
      <c r="O108" s="144"/>
      <c r="P108" s="144"/>
      <c r="Q108" s="144"/>
      <c r="R108" s="153">
        <v>1</v>
      </c>
      <c r="S108" s="154"/>
      <c r="T108" s="146"/>
      <c r="U108" s="146"/>
    </row>
    <row r="109" spans="1:21" ht="35.25" customHeight="1">
      <c r="A109" s="39"/>
      <c r="B109" s="30"/>
      <c r="C109" s="30"/>
      <c r="D109" s="161" t="s">
        <v>256</v>
      </c>
      <c r="E109" s="162"/>
      <c r="F109" s="162"/>
      <c r="G109" s="162"/>
      <c r="H109" s="162"/>
      <c r="I109" s="162"/>
      <c r="J109" s="162"/>
      <c r="K109" s="163"/>
      <c r="L109" s="140" t="s">
        <v>737</v>
      </c>
      <c r="M109" s="141"/>
      <c r="N109" s="270" t="s">
        <v>211</v>
      </c>
      <c r="O109" s="271"/>
      <c r="P109" s="271"/>
      <c r="Q109" s="272"/>
      <c r="R109" s="153">
        <v>11</v>
      </c>
      <c r="S109" s="154"/>
      <c r="T109" s="110"/>
      <c r="U109" s="110"/>
    </row>
    <row r="110" spans="1:21" ht="24" customHeight="1">
      <c r="A110" s="39"/>
      <c r="B110" s="30"/>
      <c r="C110" s="30"/>
      <c r="D110" s="161" t="s">
        <v>86</v>
      </c>
      <c r="E110" s="162"/>
      <c r="F110" s="162"/>
      <c r="G110" s="162"/>
      <c r="H110" s="162"/>
      <c r="I110" s="162"/>
      <c r="J110" s="162"/>
      <c r="K110" s="163"/>
      <c r="L110" s="140" t="s">
        <v>737</v>
      </c>
      <c r="M110" s="141"/>
      <c r="N110" s="169" t="s">
        <v>548</v>
      </c>
      <c r="O110" s="169"/>
      <c r="P110" s="169"/>
      <c r="Q110" s="169"/>
      <c r="R110" s="153">
        <f>1+8</f>
        <v>9</v>
      </c>
      <c r="S110" s="154"/>
      <c r="T110" s="110"/>
      <c r="U110" s="110"/>
    </row>
    <row r="111" spans="1:21" ht="17.25" customHeight="1">
      <c r="A111" s="39"/>
      <c r="B111" s="32"/>
      <c r="C111" s="30"/>
      <c r="D111" s="181" t="s">
        <v>693</v>
      </c>
      <c r="E111" s="182"/>
      <c r="F111" s="182"/>
      <c r="G111" s="182"/>
      <c r="H111" s="182"/>
      <c r="I111" s="182"/>
      <c r="J111" s="182"/>
      <c r="K111" s="182"/>
      <c r="L111" s="140"/>
      <c r="M111" s="141"/>
      <c r="N111" s="144"/>
      <c r="O111" s="144"/>
      <c r="P111" s="144"/>
      <c r="Q111" s="144"/>
      <c r="R111" s="144"/>
      <c r="S111" s="144"/>
      <c r="T111" s="145"/>
      <c r="U111" s="145"/>
    </row>
    <row r="112" spans="1:21" ht="39" customHeight="1">
      <c r="A112" s="39"/>
      <c r="B112" s="30"/>
      <c r="C112" s="30"/>
      <c r="D112" s="184" t="s">
        <v>515</v>
      </c>
      <c r="E112" s="185"/>
      <c r="F112" s="185"/>
      <c r="G112" s="185"/>
      <c r="H112" s="185"/>
      <c r="I112" s="185"/>
      <c r="J112" s="185"/>
      <c r="K112" s="186"/>
      <c r="L112" s="140"/>
      <c r="M112" s="141"/>
      <c r="N112" s="140"/>
      <c r="O112" s="142"/>
      <c r="P112" s="142"/>
      <c r="Q112" s="141"/>
      <c r="R112" s="140"/>
      <c r="S112" s="141"/>
      <c r="T112" s="145"/>
      <c r="U112" s="145"/>
    </row>
    <row r="113" spans="1:21" ht="35.25" customHeight="1">
      <c r="A113" s="39"/>
      <c r="B113" s="30"/>
      <c r="C113" s="30"/>
      <c r="D113" s="184" t="s">
        <v>585</v>
      </c>
      <c r="E113" s="185"/>
      <c r="F113" s="185"/>
      <c r="G113" s="185"/>
      <c r="H113" s="185"/>
      <c r="I113" s="185"/>
      <c r="J113" s="185"/>
      <c r="K113" s="186"/>
      <c r="L113" s="140" t="s">
        <v>737</v>
      </c>
      <c r="M113" s="141"/>
      <c r="N113" s="144" t="s">
        <v>691</v>
      </c>
      <c r="O113" s="144"/>
      <c r="P113" s="144"/>
      <c r="Q113" s="144"/>
      <c r="R113" s="155">
        <v>6</v>
      </c>
      <c r="S113" s="155"/>
      <c r="T113" s="147"/>
      <c r="U113" s="147"/>
    </row>
    <row r="114" spans="1:21" ht="18.75" customHeight="1">
      <c r="A114" s="39"/>
      <c r="B114" s="30"/>
      <c r="C114" s="30"/>
      <c r="D114" s="184" t="s">
        <v>586</v>
      </c>
      <c r="E114" s="185"/>
      <c r="F114" s="185"/>
      <c r="G114" s="185"/>
      <c r="H114" s="185"/>
      <c r="I114" s="185"/>
      <c r="J114" s="185"/>
      <c r="K114" s="186"/>
      <c r="L114" s="140" t="s">
        <v>737</v>
      </c>
      <c r="M114" s="141"/>
      <c r="N114" s="144" t="s">
        <v>691</v>
      </c>
      <c r="O114" s="144"/>
      <c r="P114" s="144"/>
      <c r="Q114" s="144"/>
      <c r="R114" s="160">
        <v>18</v>
      </c>
      <c r="S114" s="160"/>
      <c r="T114" s="148"/>
      <c r="U114" s="148"/>
    </row>
    <row r="115" spans="1:21" ht="18.75" customHeight="1">
      <c r="A115" s="39"/>
      <c r="B115" s="30"/>
      <c r="C115" s="30"/>
      <c r="D115" s="161" t="s">
        <v>572</v>
      </c>
      <c r="E115" s="162"/>
      <c r="F115" s="162"/>
      <c r="G115" s="162"/>
      <c r="H115" s="162"/>
      <c r="I115" s="162"/>
      <c r="J115" s="162"/>
      <c r="K115" s="163"/>
      <c r="L115" s="140" t="s">
        <v>737</v>
      </c>
      <c r="M115" s="141"/>
      <c r="N115" s="144" t="s">
        <v>691</v>
      </c>
      <c r="O115" s="144"/>
      <c r="P115" s="144"/>
      <c r="Q115" s="144"/>
      <c r="R115" s="153">
        <v>131</v>
      </c>
      <c r="S115" s="154"/>
      <c r="T115" s="146"/>
      <c r="U115" s="146"/>
    </row>
    <row r="116" spans="1:21" ht="19.5" customHeight="1">
      <c r="A116" s="39"/>
      <c r="B116" s="30"/>
      <c r="C116" s="30"/>
      <c r="D116" s="161" t="s">
        <v>370</v>
      </c>
      <c r="E116" s="162"/>
      <c r="F116" s="162"/>
      <c r="G116" s="162"/>
      <c r="H116" s="162"/>
      <c r="I116" s="162"/>
      <c r="J116" s="162"/>
      <c r="K116" s="163"/>
      <c r="L116" s="140" t="s">
        <v>737</v>
      </c>
      <c r="M116" s="141"/>
      <c r="N116" s="144" t="s">
        <v>691</v>
      </c>
      <c r="O116" s="144"/>
      <c r="P116" s="144"/>
      <c r="Q116" s="144"/>
      <c r="R116" s="155">
        <v>5</v>
      </c>
      <c r="S116" s="155"/>
      <c r="T116" s="147"/>
      <c r="U116" s="147"/>
    </row>
    <row r="117" spans="1:21" ht="51" customHeight="1">
      <c r="A117" s="39"/>
      <c r="B117" s="30"/>
      <c r="C117" s="30"/>
      <c r="D117" s="161" t="s">
        <v>213</v>
      </c>
      <c r="E117" s="162"/>
      <c r="F117" s="162"/>
      <c r="G117" s="162"/>
      <c r="H117" s="162"/>
      <c r="I117" s="162"/>
      <c r="J117" s="162"/>
      <c r="K117" s="163"/>
      <c r="L117" s="140" t="s">
        <v>737</v>
      </c>
      <c r="M117" s="141"/>
      <c r="N117" s="144" t="s">
        <v>691</v>
      </c>
      <c r="O117" s="144"/>
      <c r="P117" s="144"/>
      <c r="Q117" s="144"/>
      <c r="R117" s="155">
        <v>109</v>
      </c>
      <c r="S117" s="155"/>
      <c r="T117" s="147"/>
      <c r="U117" s="147"/>
    </row>
    <row r="118" spans="1:21" ht="21" customHeight="1">
      <c r="A118" s="39"/>
      <c r="B118" s="30"/>
      <c r="C118" s="30"/>
      <c r="D118" s="161" t="s">
        <v>73</v>
      </c>
      <c r="E118" s="162"/>
      <c r="F118" s="162"/>
      <c r="G118" s="162"/>
      <c r="H118" s="162"/>
      <c r="I118" s="162"/>
      <c r="J118" s="162"/>
      <c r="K118" s="163"/>
      <c r="L118" s="140" t="s">
        <v>737</v>
      </c>
      <c r="M118" s="141"/>
      <c r="N118" s="144" t="s">
        <v>691</v>
      </c>
      <c r="O118" s="144"/>
      <c r="P118" s="144"/>
      <c r="Q118" s="144"/>
      <c r="R118" s="156">
        <v>1</v>
      </c>
      <c r="S118" s="157"/>
      <c r="T118" s="147"/>
      <c r="U118" s="147"/>
    </row>
    <row r="119" spans="1:21" ht="33.75" customHeight="1">
      <c r="A119" s="39"/>
      <c r="B119" s="30"/>
      <c r="C119" s="30"/>
      <c r="D119" s="161" t="s">
        <v>366</v>
      </c>
      <c r="E119" s="162"/>
      <c r="F119" s="162"/>
      <c r="G119" s="162"/>
      <c r="H119" s="162"/>
      <c r="I119" s="162"/>
      <c r="J119" s="162"/>
      <c r="K119" s="163"/>
      <c r="L119" s="140" t="s">
        <v>631</v>
      </c>
      <c r="M119" s="141"/>
      <c r="N119" s="144" t="s">
        <v>691</v>
      </c>
      <c r="O119" s="144"/>
      <c r="P119" s="144"/>
      <c r="Q119" s="144"/>
      <c r="R119" s="158">
        <f>11.417+0.23+0.348+1.26+(1.2*6/1000)</f>
        <v>13.2622</v>
      </c>
      <c r="S119" s="159"/>
      <c r="T119" s="130"/>
      <c r="U119" s="130"/>
    </row>
    <row r="120" spans="1:21" ht="35.25" customHeight="1">
      <c r="A120" s="39"/>
      <c r="B120" s="30"/>
      <c r="C120" s="30"/>
      <c r="D120" s="161" t="s">
        <v>587</v>
      </c>
      <c r="E120" s="162"/>
      <c r="F120" s="162"/>
      <c r="G120" s="162"/>
      <c r="H120" s="162"/>
      <c r="I120" s="162"/>
      <c r="J120" s="162"/>
      <c r="K120" s="163"/>
      <c r="L120" s="140" t="s">
        <v>513</v>
      </c>
      <c r="M120" s="141"/>
      <c r="N120" s="144" t="s">
        <v>691</v>
      </c>
      <c r="O120" s="144"/>
      <c r="P120" s="144"/>
      <c r="Q120" s="144"/>
      <c r="R120" s="164">
        <v>2.374</v>
      </c>
      <c r="S120" s="165"/>
      <c r="T120" s="127"/>
      <c r="U120" s="127"/>
    </row>
    <row r="121" spans="1:21" ht="18" customHeight="1">
      <c r="A121" s="39"/>
      <c r="B121" s="30"/>
      <c r="C121" s="30"/>
      <c r="D121" s="161" t="s">
        <v>139</v>
      </c>
      <c r="E121" s="162"/>
      <c r="F121" s="162"/>
      <c r="G121" s="162"/>
      <c r="H121" s="162"/>
      <c r="I121" s="162"/>
      <c r="J121" s="162"/>
      <c r="K121" s="163"/>
      <c r="L121" s="140" t="s">
        <v>737</v>
      </c>
      <c r="M121" s="141"/>
      <c r="N121" s="140" t="s">
        <v>692</v>
      </c>
      <c r="O121" s="142"/>
      <c r="P121" s="142"/>
      <c r="Q121" s="141"/>
      <c r="R121" s="153">
        <v>2</v>
      </c>
      <c r="S121" s="154"/>
      <c r="T121" s="146"/>
      <c r="U121" s="146"/>
    </row>
    <row r="122" spans="1:21" ht="21" customHeight="1">
      <c r="A122" s="39"/>
      <c r="B122" s="30"/>
      <c r="C122" s="30"/>
      <c r="D122" s="161" t="s">
        <v>216</v>
      </c>
      <c r="E122" s="162"/>
      <c r="F122" s="162"/>
      <c r="G122" s="162"/>
      <c r="H122" s="162"/>
      <c r="I122" s="162"/>
      <c r="J122" s="162"/>
      <c r="K122" s="163"/>
      <c r="L122" s="140" t="s">
        <v>737</v>
      </c>
      <c r="M122" s="141"/>
      <c r="N122" s="170" t="s">
        <v>212</v>
      </c>
      <c r="O122" s="170"/>
      <c r="P122" s="170"/>
      <c r="Q122" s="170"/>
      <c r="R122" s="153">
        <v>2</v>
      </c>
      <c r="S122" s="154"/>
      <c r="T122" s="146"/>
      <c r="U122" s="146"/>
    </row>
    <row r="123" spans="1:21" ht="21.75" customHeight="1">
      <c r="A123" s="39"/>
      <c r="B123" s="30"/>
      <c r="C123" s="30"/>
      <c r="D123" s="161" t="s">
        <v>75</v>
      </c>
      <c r="E123" s="162"/>
      <c r="F123" s="162"/>
      <c r="G123" s="162"/>
      <c r="H123" s="162"/>
      <c r="I123" s="162"/>
      <c r="J123" s="162"/>
      <c r="K123" s="163"/>
      <c r="L123" s="140" t="s">
        <v>737</v>
      </c>
      <c r="M123" s="141"/>
      <c r="N123" s="170" t="s">
        <v>691</v>
      </c>
      <c r="O123" s="170"/>
      <c r="P123" s="170"/>
      <c r="Q123" s="170"/>
      <c r="R123" s="153">
        <v>1</v>
      </c>
      <c r="S123" s="154"/>
      <c r="T123" s="146"/>
      <c r="U123" s="146"/>
    </row>
    <row r="124" spans="1:21" ht="36.75" customHeight="1">
      <c r="A124" s="39"/>
      <c r="B124" s="30"/>
      <c r="C124" s="30"/>
      <c r="D124" s="184" t="s">
        <v>195</v>
      </c>
      <c r="E124" s="185"/>
      <c r="F124" s="185"/>
      <c r="G124" s="185"/>
      <c r="H124" s="185"/>
      <c r="I124" s="185"/>
      <c r="J124" s="185"/>
      <c r="K124" s="186"/>
      <c r="L124" s="140" t="s">
        <v>737</v>
      </c>
      <c r="M124" s="141"/>
      <c r="N124" s="144" t="s">
        <v>691</v>
      </c>
      <c r="O124" s="144"/>
      <c r="P124" s="144"/>
      <c r="Q124" s="144"/>
      <c r="R124" s="153">
        <v>2</v>
      </c>
      <c r="S124" s="154"/>
      <c r="T124" s="146"/>
      <c r="U124" s="146"/>
    </row>
    <row r="125" spans="1:21" ht="24" customHeight="1">
      <c r="A125" s="39"/>
      <c r="B125" s="30"/>
      <c r="C125" s="30"/>
      <c r="D125" s="161" t="s">
        <v>245</v>
      </c>
      <c r="E125" s="162"/>
      <c r="F125" s="162"/>
      <c r="G125" s="162"/>
      <c r="H125" s="162"/>
      <c r="I125" s="162"/>
      <c r="J125" s="162"/>
      <c r="K125" s="163"/>
      <c r="L125" s="140" t="s">
        <v>737</v>
      </c>
      <c r="M125" s="141"/>
      <c r="N125" s="144" t="s">
        <v>691</v>
      </c>
      <c r="O125" s="144"/>
      <c r="P125" s="144"/>
      <c r="Q125" s="144"/>
      <c r="R125" s="153">
        <v>1</v>
      </c>
      <c r="S125" s="154"/>
      <c r="T125" s="146"/>
      <c r="U125" s="146"/>
    </row>
    <row r="126" spans="1:21" ht="37.5" customHeight="1">
      <c r="A126" s="39"/>
      <c r="B126" s="30"/>
      <c r="C126" s="30"/>
      <c r="D126" s="161" t="s">
        <v>257</v>
      </c>
      <c r="E126" s="162"/>
      <c r="F126" s="162"/>
      <c r="G126" s="162"/>
      <c r="H126" s="162"/>
      <c r="I126" s="162"/>
      <c r="J126" s="162"/>
      <c r="K126" s="163"/>
      <c r="L126" s="140" t="s">
        <v>737</v>
      </c>
      <c r="M126" s="141"/>
      <c r="N126" s="270" t="s">
        <v>211</v>
      </c>
      <c r="O126" s="271"/>
      <c r="P126" s="271"/>
      <c r="Q126" s="272"/>
      <c r="R126" s="153">
        <v>11</v>
      </c>
      <c r="S126" s="154"/>
      <c r="T126" s="110"/>
      <c r="U126" s="110"/>
    </row>
    <row r="127" spans="1:21" ht="23.25" customHeight="1">
      <c r="A127" s="39"/>
      <c r="B127" s="30"/>
      <c r="C127" s="30"/>
      <c r="D127" s="161" t="s">
        <v>87</v>
      </c>
      <c r="E127" s="162"/>
      <c r="F127" s="162"/>
      <c r="G127" s="162"/>
      <c r="H127" s="162"/>
      <c r="I127" s="162"/>
      <c r="J127" s="162"/>
      <c r="K127" s="163"/>
      <c r="L127" s="140" t="s">
        <v>737</v>
      </c>
      <c r="M127" s="141"/>
      <c r="N127" s="274" t="s">
        <v>691</v>
      </c>
      <c r="O127" s="275"/>
      <c r="P127" s="275"/>
      <c r="Q127" s="276"/>
      <c r="R127" s="153">
        <f>1+8</f>
        <v>9</v>
      </c>
      <c r="S127" s="154"/>
      <c r="T127" s="110"/>
      <c r="U127" s="110"/>
    </row>
    <row r="128" spans="1:21" ht="19.5" customHeight="1">
      <c r="A128" s="39"/>
      <c r="B128" s="32"/>
      <c r="C128" s="30"/>
      <c r="D128" s="181" t="s">
        <v>694</v>
      </c>
      <c r="E128" s="182"/>
      <c r="F128" s="182"/>
      <c r="G128" s="182"/>
      <c r="H128" s="182"/>
      <c r="I128" s="182"/>
      <c r="J128" s="182"/>
      <c r="K128" s="182"/>
      <c r="L128" s="140"/>
      <c r="M128" s="141"/>
      <c r="N128" s="144"/>
      <c r="O128" s="144"/>
      <c r="P128" s="144"/>
      <c r="Q128" s="144"/>
      <c r="R128" s="144"/>
      <c r="S128" s="144"/>
      <c r="T128" s="145"/>
      <c r="U128" s="145"/>
    </row>
    <row r="129" spans="1:21" ht="24" customHeight="1">
      <c r="A129" s="39"/>
      <c r="B129" s="30"/>
      <c r="C129" s="30"/>
      <c r="D129" s="143" t="s">
        <v>632</v>
      </c>
      <c r="E129" s="143"/>
      <c r="F129" s="143"/>
      <c r="G129" s="143"/>
      <c r="H129" s="143"/>
      <c r="I129" s="143"/>
      <c r="J129" s="143"/>
      <c r="K129" s="143"/>
      <c r="L129" s="140" t="s">
        <v>690</v>
      </c>
      <c r="M129" s="141"/>
      <c r="N129" s="140" t="s">
        <v>603</v>
      </c>
      <c r="O129" s="142"/>
      <c r="P129" s="142"/>
      <c r="Q129" s="141"/>
      <c r="R129" s="135">
        <f>R79/R96</f>
        <v>56.84227833333333</v>
      </c>
      <c r="S129" s="136"/>
      <c r="T129" s="132"/>
      <c r="U129" s="132"/>
    </row>
    <row r="130" spans="1:21" ht="19.5" customHeight="1">
      <c r="A130" s="39"/>
      <c r="B130" s="30"/>
      <c r="C130" s="30"/>
      <c r="D130" s="143" t="s">
        <v>633</v>
      </c>
      <c r="E130" s="143"/>
      <c r="F130" s="143"/>
      <c r="G130" s="143"/>
      <c r="H130" s="143"/>
      <c r="I130" s="143"/>
      <c r="J130" s="143"/>
      <c r="K130" s="143"/>
      <c r="L130" s="140" t="s">
        <v>690</v>
      </c>
      <c r="M130" s="141"/>
      <c r="N130" s="140" t="s">
        <v>603</v>
      </c>
      <c r="O130" s="142"/>
      <c r="P130" s="142"/>
      <c r="Q130" s="141"/>
      <c r="R130" s="133">
        <f>R80/R97</f>
        <v>21.22222222222222</v>
      </c>
      <c r="S130" s="134"/>
      <c r="T130" s="131"/>
      <c r="U130" s="131"/>
    </row>
    <row r="131" spans="1:21" ht="19.5" customHeight="1">
      <c r="A131" s="39"/>
      <c r="B131" s="30"/>
      <c r="C131" s="30"/>
      <c r="D131" s="143" t="s">
        <v>573</v>
      </c>
      <c r="E131" s="143"/>
      <c r="F131" s="143"/>
      <c r="G131" s="143"/>
      <c r="H131" s="143"/>
      <c r="I131" s="143"/>
      <c r="J131" s="143"/>
      <c r="K131" s="143"/>
      <c r="L131" s="140" t="s">
        <v>690</v>
      </c>
      <c r="M131" s="141"/>
      <c r="N131" s="140" t="s">
        <v>603</v>
      </c>
      <c r="O131" s="142"/>
      <c r="P131" s="142"/>
      <c r="Q131" s="141"/>
      <c r="R131" s="135">
        <f>R81/R115</f>
        <v>3.053435114503817</v>
      </c>
      <c r="S131" s="136"/>
      <c r="T131" s="132"/>
      <c r="U131" s="132"/>
    </row>
    <row r="132" spans="1:21" ht="19.5" customHeight="1">
      <c r="A132" s="39"/>
      <c r="B132" s="30"/>
      <c r="C132" s="30"/>
      <c r="D132" s="143" t="s">
        <v>367</v>
      </c>
      <c r="E132" s="143"/>
      <c r="F132" s="143"/>
      <c r="G132" s="143"/>
      <c r="H132" s="143"/>
      <c r="I132" s="143"/>
      <c r="J132" s="143"/>
      <c r="K132" s="143"/>
      <c r="L132" s="140" t="s">
        <v>690</v>
      </c>
      <c r="M132" s="141"/>
      <c r="N132" s="140" t="s">
        <v>603</v>
      </c>
      <c r="O132" s="142"/>
      <c r="P132" s="142"/>
      <c r="Q132" s="141"/>
      <c r="R132" s="133">
        <f>R82/R99</f>
        <v>412.34752800000007</v>
      </c>
      <c r="S132" s="134"/>
      <c r="T132" s="131"/>
      <c r="U132" s="131"/>
    </row>
    <row r="133" spans="1:21" ht="34.5" customHeight="1">
      <c r="A133" s="39"/>
      <c r="B133" s="30"/>
      <c r="C133" s="30"/>
      <c r="D133" s="143" t="s">
        <v>72</v>
      </c>
      <c r="E133" s="143"/>
      <c r="F133" s="143"/>
      <c r="G133" s="143"/>
      <c r="H133" s="143"/>
      <c r="I133" s="143"/>
      <c r="J133" s="143"/>
      <c r="K133" s="143"/>
      <c r="L133" s="140" t="s">
        <v>690</v>
      </c>
      <c r="M133" s="141"/>
      <c r="N133" s="140" t="s">
        <v>603</v>
      </c>
      <c r="O133" s="142"/>
      <c r="P133" s="142"/>
      <c r="Q133" s="141"/>
      <c r="R133" s="133">
        <f>R83/R117</f>
        <v>13.412844036697248</v>
      </c>
      <c r="S133" s="134"/>
      <c r="T133" s="131"/>
      <c r="U133" s="131"/>
    </row>
    <row r="134" spans="1:21" ht="21.75" customHeight="1">
      <c r="A134" s="39"/>
      <c r="B134" s="30"/>
      <c r="C134" s="30"/>
      <c r="D134" s="143" t="s">
        <v>215</v>
      </c>
      <c r="E134" s="143"/>
      <c r="F134" s="143"/>
      <c r="G134" s="143"/>
      <c r="H134" s="143"/>
      <c r="I134" s="143"/>
      <c r="J134" s="143"/>
      <c r="K134" s="143"/>
      <c r="L134" s="140" t="s">
        <v>690</v>
      </c>
      <c r="M134" s="141"/>
      <c r="N134" s="140" t="s">
        <v>603</v>
      </c>
      <c r="O134" s="142"/>
      <c r="P134" s="142"/>
      <c r="Q134" s="141"/>
      <c r="R134" s="133">
        <f>R84/R101</f>
        <v>188</v>
      </c>
      <c r="S134" s="134"/>
      <c r="T134" s="131"/>
      <c r="U134" s="131"/>
    </row>
    <row r="135" spans="1:21" ht="19.5" customHeight="1">
      <c r="A135" s="39"/>
      <c r="B135" s="30"/>
      <c r="C135" s="30"/>
      <c r="D135" s="143" t="s">
        <v>634</v>
      </c>
      <c r="E135" s="143"/>
      <c r="F135" s="143"/>
      <c r="G135" s="143"/>
      <c r="H135" s="143"/>
      <c r="I135" s="143"/>
      <c r="J135" s="143"/>
      <c r="K135" s="143"/>
      <c r="L135" s="140" t="s">
        <v>690</v>
      </c>
      <c r="M135" s="141"/>
      <c r="N135" s="140" t="s">
        <v>603</v>
      </c>
      <c r="O135" s="142"/>
      <c r="P135" s="142"/>
      <c r="Q135" s="141"/>
      <c r="R135" s="135">
        <f>R85/R119/1000</f>
        <v>0.2605005956779418</v>
      </c>
      <c r="S135" s="136"/>
      <c r="T135" s="132"/>
      <c r="U135" s="132"/>
    </row>
    <row r="136" spans="1:21" ht="19.5" customHeight="1">
      <c r="A136" s="39"/>
      <c r="B136" s="30"/>
      <c r="C136" s="30"/>
      <c r="D136" s="143" t="s">
        <v>514</v>
      </c>
      <c r="E136" s="143"/>
      <c r="F136" s="143"/>
      <c r="G136" s="143"/>
      <c r="H136" s="143"/>
      <c r="I136" s="143"/>
      <c r="J136" s="143"/>
      <c r="K136" s="143"/>
      <c r="L136" s="140" t="s">
        <v>690</v>
      </c>
      <c r="M136" s="141"/>
      <c r="N136" s="140" t="s">
        <v>603</v>
      </c>
      <c r="O136" s="142"/>
      <c r="P136" s="142"/>
      <c r="Q136" s="141"/>
      <c r="R136" s="135">
        <f>R86/R120/1000</f>
        <v>0.4714910909856781</v>
      </c>
      <c r="S136" s="136"/>
      <c r="T136" s="132"/>
      <c r="U136" s="132"/>
    </row>
    <row r="137" spans="1:21" ht="19.5" customHeight="1">
      <c r="A137" s="39"/>
      <c r="B137" s="30"/>
      <c r="C137" s="30"/>
      <c r="D137" s="166" t="s">
        <v>140</v>
      </c>
      <c r="E137" s="167"/>
      <c r="F137" s="167"/>
      <c r="G137" s="167"/>
      <c r="H137" s="167"/>
      <c r="I137" s="167"/>
      <c r="J137" s="167"/>
      <c r="K137" s="168"/>
      <c r="L137" s="140" t="s">
        <v>690</v>
      </c>
      <c r="M137" s="141"/>
      <c r="N137" s="140" t="s">
        <v>603</v>
      </c>
      <c r="O137" s="142"/>
      <c r="P137" s="142"/>
      <c r="Q137" s="141"/>
      <c r="R137" s="133">
        <f aca="true" t="shared" si="1" ref="R137:R142">R88/R121</f>
        <v>125</v>
      </c>
      <c r="S137" s="134"/>
      <c r="T137" s="131"/>
      <c r="U137" s="131"/>
    </row>
    <row r="138" spans="1:21" ht="19.5" customHeight="1">
      <c r="A138" s="39"/>
      <c r="B138" s="30"/>
      <c r="C138" s="30"/>
      <c r="D138" s="166" t="s">
        <v>76</v>
      </c>
      <c r="E138" s="167"/>
      <c r="F138" s="167"/>
      <c r="G138" s="167"/>
      <c r="H138" s="167"/>
      <c r="I138" s="167"/>
      <c r="J138" s="167"/>
      <c r="K138" s="168"/>
      <c r="L138" s="140" t="s">
        <v>690</v>
      </c>
      <c r="M138" s="141"/>
      <c r="N138" s="140" t="s">
        <v>603</v>
      </c>
      <c r="O138" s="142"/>
      <c r="P138" s="142"/>
      <c r="Q138" s="141"/>
      <c r="R138" s="133">
        <f t="shared" si="1"/>
        <v>303.49847</v>
      </c>
      <c r="S138" s="134"/>
      <c r="T138" s="131"/>
      <c r="U138" s="131"/>
    </row>
    <row r="139" spans="1:21" ht="19.5" customHeight="1">
      <c r="A139" s="39"/>
      <c r="B139" s="30"/>
      <c r="C139" s="30"/>
      <c r="D139" s="166" t="s">
        <v>77</v>
      </c>
      <c r="E139" s="167"/>
      <c r="F139" s="167"/>
      <c r="G139" s="167"/>
      <c r="H139" s="167"/>
      <c r="I139" s="167"/>
      <c r="J139" s="167"/>
      <c r="K139" s="168"/>
      <c r="L139" s="140" t="s">
        <v>690</v>
      </c>
      <c r="M139" s="141"/>
      <c r="N139" s="140" t="s">
        <v>603</v>
      </c>
      <c r="O139" s="142"/>
      <c r="P139" s="142"/>
      <c r="Q139" s="141"/>
      <c r="R139" s="133">
        <f t="shared" si="1"/>
        <v>0.513</v>
      </c>
      <c r="S139" s="134"/>
      <c r="T139" s="131"/>
      <c r="U139" s="131"/>
    </row>
    <row r="140" spans="1:21" ht="33.75" customHeight="1">
      <c r="A140" s="39"/>
      <c r="B140" s="30"/>
      <c r="C140" s="30"/>
      <c r="D140" s="137" t="s">
        <v>196</v>
      </c>
      <c r="E140" s="138"/>
      <c r="F140" s="138"/>
      <c r="G140" s="138"/>
      <c r="H140" s="138"/>
      <c r="I140" s="138"/>
      <c r="J140" s="138"/>
      <c r="K140" s="139"/>
      <c r="L140" s="140" t="s">
        <v>690</v>
      </c>
      <c r="M140" s="141"/>
      <c r="N140" s="140" t="s">
        <v>603</v>
      </c>
      <c r="O140" s="142"/>
      <c r="P140" s="142"/>
      <c r="Q140" s="141"/>
      <c r="R140" s="133">
        <f t="shared" si="1"/>
        <v>111.3365</v>
      </c>
      <c r="S140" s="134"/>
      <c r="T140" s="131"/>
      <c r="U140" s="131"/>
    </row>
    <row r="141" spans="1:21" ht="21.75" customHeight="1">
      <c r="A141" s="39"/>
      <c r="B141" s="30"/>
      <c r="C141" s="30"/>
      <c r="D141" s="143" t="s">
        <v>246</v>
      </c>
      <c r="E141" s="143"/>
      <c r="F141" s="143"/>
      <c r="G141" s="143"/>
      <c r="H141" s="143"/>
      <c r="I141" s="143"/>
      <c r="J141" s="143"/>
      <c r="K141" s="143"/>
      <c r="L141" s="140" t="s">
        <v>690</v>
      </c>
      <c r="M141" s="141"/>
      <c r="N141" s="140" t="s">
        <v>603</v>
      </c>
      <c r="O141" s="142"/>
      <c r="P141" s="142"/>
      <c r="Q141" s="141"/>
      <c r="R141" s="133">
        <f t="shared" si="1"/>
        <v>15.71654</v>
      </c>
      <c r="S141" s="134"/>
      <c r="T141" s="131"/>
      <c r="U141" s="131"/>
    </row>
    <row r="142" spans="1:21" ht="36" customHeight="1">
      <c r="A142" s="39"/>
      <c r="B142" s="30"/>
      <c r="C142" s="30"/>
      <c r="D142" s="143" t="s">
        <v>258</v>
      </c>
      <c r="E142" s="143"/>
      <c r="F142" s="143"/>
      <c r="G142" s="143"/>
      <c r="H142" s="143"/>
      <c r="I142" s="143"/>
      <c r="J142" s="143"/>
      <c r="K142" s="143"/>
      <c r="L142" s="140" t="s">
        <v>690</v>
      </c>
      <c r="M142" s="141"/>
      <c r="N142" s="140" t="s">
        <v>603</v>
      </c>
      <c r="O142" s="142"/>
      <c r="P142" s="142"/>
      <c r="Q142" s="141"/>
      <c r="R142" s="133">
        <f t="shared" si="1"/>
        <v>4.545454545454546</v>
      </c>
      <c r="S142" s="134"/>
      <c r="T142" s="68"/>
      <c r="U142" s="68"/>
    </row>
    <row r="143" spans="1:21" ht="24" customHeight="1">
      <c r="A143" s="39"/>
      <c r="B143" s="30"/>
      <c r="C143" s="30"/>
      <c r="D143" s="137" t="s">
        <v>88</v>
      </c>
      <c r="E143" s="138"/>
      <c r="F143" s="138"/>
      <c r="G143" s="138"/>
      <c r="H143" s="138"/>
      <c r="I143" s="138"/>
      <c r="J143" s="138"/>
      <c r="K143" s="139"/>
      <c r="L143" s="140" t="s">
        <v>690</v>
      </c>
      <c r="M143" s="141"/>
      <c r="N143" s="140" t="s">
        <v>603</v>
      </c>
      <c r="O143" s="142"/>
      <c r="P143" s="142"/>
      <c r="Q143" s="141"/>
      <c r="R143" s="133">
        <f>R94/R127</f>
        <v>16.73404</v>
      </c>
      <c r="S143" s="134"/>
      <c r="T143" s="68"/>
      <c r="U143" s="68"/>
    </row>
    <row r="144" spans="1:21" ht="23.25" customHeight="1">
      <c r="A144" s="39"/>
      <c r="B144" s="32"/>
      <c r="C144" s="30"/>
      <c r="D144" s="181" t="s">
        <v>697</v>
      </c>
      <c r="E144" s="182"/>
      <c r="F144" s="182"/>
      <c r="G144" s="182"/>
      <c r="H144" s="182"/>
      <c r="I144" s="182"/>
      <c r="J144" s="182"/>
      <c r="K144" s="182"/>
      <c r="L144" s="140"/>
      <c r="M144" s="141"/>
      <c r="N144" s="144"/>
      <c r="O144" s="144"/>
      <c r="P144" s="144"/>
      <c r="Q144" s="144"/>
      <c r="R144" s="144"/>
      <c r="S144" s="144"/>
      <c r="T144" s="145"/>
      <c r="U144" s="145"/>
    </row>
    <row r="145" spans="1:21" ht="54" customHeight="1">
      <c r="A145" s="39"/>
      <c r="B145" s="30"/>
      <c r="C145" s="30"/>
      <c r="D145" s="210" t="s">
        <v>574</v>
      </c>
      <c r="E145" s="211"/>
      <c r="F145" s="211"/>
      <c r="G145" s="211"/>
      <c r="H145" s="211"/>
      <c r="I145" s="211"/>
      <c r="J145" s="211"/>
      <c r="K145" s="212"/>
      <c r="L145" s="140" t="s">
        <v>696</v>
      </c>
      <c r="M145" s="141"/>
      <c r="N145" s="140" t="s">
        <v>603</v>
      </c>
      <c r="O145" s="142"/>
      <c r="P145" s="142"/>
      <c r="Q145" s="141"/>
      <c r="R145" s="189">
        <v>100</v>
      </c>
      <c r="S145" s="189"/>
      <c r="T145" s="131"/>
      <c r="U145" s="131"/>
    </row>
    <row r="146" spans="1:21" ht="36" customHeight="1">
      <c r="A146" s="39"/>
      <c r="B146" s="30"/>
      <c r="C146" s="30"/>
      <c r="D146" s="273" t="s">
        <v>55</v>
      </c>
      <c r="E146" s="273"/>
      <c r="F146" s="273"/>
      <c r="G146" s="273"/>
      <c r="H146" s="273"/>
      <c r="I146" s="273"/>
      <c r="J146" s="273"/>
      <c r="K146" s="273"/>
      <c r="L146" s="144" t="s">
        <v>696</v>
      </c>
      <c r="M146" s="144"/>
      <c r="N146" s="144" t="s">
        <v>603</v>
      </c>
      <c r="O146" s="144"/>
      <c r="P146" s="144"/>
      <c r="Q146" s="144"/>
      <c r="R146" s="189">
        <f>R117/R100*100</f>
        <v>100</v>
      </c>
      <c r="S146" s="189"/>
      <c r="T146" s="131"/>
      <c r="U146" s="131"/>
    </row>
    <row r="147" spans="1:21" ht="11.25" customHeight="1">
      <c r="A147" s="39"/>
      <c r="B147" s="39"/>
      <c r="C147" s="39"/>
      <c r="D147" s="111"/>
      <c r="E147" s="111"/>
      <c r="F147" s="111"/>
      <c r="G147" s="111"/>
      <c r="H147" s="111"/>
      <c r="I147" s="111"/>
      <c r="J147" s="111"/>
      <c r="K147" s="111"/>
      <c r="L147" s="56"/>
      <c r="M147" s="56"/>
      <c r="N147" s="56"/>
      <c r="O147" s="56"/>
      <c r="P147" s="56"/>
      <c r="Q147" s="56"/>
      <c r="R147" s="68"/>
      <c r="S147" s="68"/>
      <c r="T147" s="68"/>
      <c r="U147" s="68"/>
    </row>
    <row r="148" spans="1:20" ht="36" customHeight="1">
      <c r="A148" s="39"/>
      <c r="B148" s="30" t="s">
        <v>683</v>
      </c>
      <c r="C148" s="30" t="s">
        <v>721</v>
      </c>
      <c r="D148" s="144" t="s">
        <v>225</v>
      </c>
      <c r="E148" s="144"/>
      <c r="F148" s="144"/>
      <c r="G148" s="144"/>
      <c r="H148" s="144"/>
      <c r="I148" s="144"/>
      <c r="J148" s="144"/>
      <c r="K148" s="144"/>
      <c r="L148" s="144" t="s">
        <v>715</v>
      </c>
      <c r="M148" s="144"/>
      <c r="N148" s="144" t="s">
        <v>687</v>
      </c>
      <c r="O148" s="144"/>
      <c r="P148" s="144"/>
      <c r="Q148" s="144"/>
      <c r="R148" s="144" t="s">
        <v>733</v>
      </c>
      <c r="S148" s="187"/>
      <c r="T148" s="63"/>
    </row>
    <row r="149" spans="1:20" ht="15.75">
      <c r="A149" s="39"/>
      <c r="B149" s="30">
        <v>1</v>
      </c>
      <c r="C149" s="30">
        <v>2</v>
      </c>
      <c r="D149" s="209">
        <v>3</v>
      </c>
      <c r="E149" s="209"/>
      <c r="F149" s="209"/>
      <c r="G149" s="209"/>
      <c r="H149" s="209"/>
      <c r="I149" s="209"/>
      <c r="J149" s="209"/>
      <c r="K149" s="209"/>
      <c r="L149" s="144">
        <v>4</v>
      </c>
      <c r="M149" s="144"/>
      <c r="N149" s="144">
        <v>5</v>
      </c>
      <c r="O149" s="144"/>
      <c r="P149" s="144"/>
      <c r="Q149" s="144"/>
      <c r="R149" s="144">
        <v>6</v>
      </c>
      <c r="S149" s="187"/>
      <c r="T149" s="63"/>
    </row>
    <row r="150" spans="1:20" ht="20.25" customHeight="1">
      <c r="A150" s="39"/>
      <c r="B150" s="30"/>
      <c r="C150" s="32"/>
      <c r="D150" s="178" t="s">
        <v>605</v>
      </c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  <c r="S150" s="180"/>
      <c r="T150" s="63"/>
    </row>
    <row r="151" spans="1:20" ht="20.25" customHeight="1">
      <c r="A151" s="39"/>
      <c r="B151" s="32"/>
      <c r="C151" s="41"/>
      <c r="D151" s="181" t="s">
        <v>688</v>
      </c>
      <c r="E151" s="182"/>
      <c r="F151" s="182"/>
      <c r="G151" s="182"/>
      <c r="H151" s="182"/>
      <c r="I151" s="182"/>
      <c r="J151" s="182"/>
      <c r="K151" s="183"/>
      <c r="L151" s="140"/>
      <c r="M151" s="141"/>
      <c r="N151" s="144"/>
      <c r="O151" s="144"/>
      <c r="P151" s="144"/>
      <c r="Q151" s="144"/>
      <c r="R151" s="144"/>
      <c r="S151" s="187"/>
      <c r="T151" s="63"/>
    </row>
    <row r="152" spans="1:20" ht="20.25" customHeight="1">
      <c r="A152" s="39"/>
      <c r="B152" s="32"/>
      <c r="C152" s="41"/>
      <c r="D152" s="184" t="s">
        <v>736</v>
      </c>
      <c r="E152" s="185"/>
      <c r="F152" s="185"/>
      <c r="G152" s="185"/>
      <c r="H152" s="185"/>
      <c r="I152" s="185"/>
      <c r="J152" s="185"/>
      <c r="K152" s="186"/>
      <c r="L152" s="140" t="s">
        <v>690</v>
      </c>
      <c r="M152" s="141"/>
      <c r="N152" s="144" t="s">
        <v>568</v>
      </c>
      <c r="O152" s="144"/>
      <c r="P152" s="144"/>
      <c r="Q152" s="144"/>
      <c r="R152" s="188">
        <f>Q55</f>
        <v>2000</v>
      </c>
      <c r="S152" s="187"/>
      <c r="T152" s="63"/>
    </row>
    <row r="153" spans="1:20" ht="30" customHeight="1">
      <c r="A153" s="39"/>
      <c r="B153" s="32"/>
      <c r="C153" s="30"/>
      <c r="D153" s="184" t="s">
        <v>635</v>
      </c>
      <c r="E153" s="185"/>
      <c r="F153" s="185"/>
      <c r="G153" s="185"/>
      <c r="H153" s="185"/>
      <c r="I153" s="185"/>
      <c r="J153" s="185"/>
      <c r="K153" s="185"/>
      <c r="L153" s="140" t="s">
        <v>737</v>
      </c>
      <c r="M153" s="141"/>
      <c r="N153" s="144" t="s">
        <v>738</v>
      </c>
      <c r="O153" s="144"/>
      <c r="P153" s="144"/>
      <c r="Q153" s="144"/>
      <c r="R153" s="160">
        <v>26</v>
      </c>
      <c r="S153" s="160"/>
      <c r="T153" s="63"/>
    </row>
    <row r="154" spans="1:20" ht="15.75">
      <c r="A154" s="39"/>
      <c r="B154" s="32"/>
      <c r="C154" s="30"/>
      <c r="D154" s="181" t="s">
        <v>693</v>
      </c>
      <c r="E154" s="182"/>
      <c r="F154" s="182"/>
      <c r="G154" s="182"/>
      <c r="H154" s="182"/>
      <c r="I154" s="182"/>
      <c r="J154" s="182"/>
      <c r="K154" s="182"/>
      <c r="L154" s="140"/>
      <c r="M154" s="141"/>
      <c r="N154" s="144"/>
      <c r="O154" s="144"/>
      <c r="P154" s="144"/>
      <c r="Q154" s="144"/>
      <c r="R154" s="144"/>
      <c r="S154" s="144"/>
      <c r="T154" s="63"/>
    </row>
    <row r="155" spans="1:30" ht="33.75" customHeight="1">
      <c r="A155" s="39"/>
      <c r="B155" s="32"/>
      <c r="C155" s="30"/>
      <c r="D155" s="184" t="s">
        <v>636</v>
      </c>
      <c r="E155" s="185"/>
      <c r="F155" s="185"/>
      <c r="G155" s="185"/>
      <c r="H155" s="185"/>
      <c r="I155" s="185"/>
      <c r="J155" s="185"/>
      <c r="K155" s="185"/>
      <c r="L155" s="140" t="s">
        <v>737</v>
      </c>
      <c r="M155" s="141"/>
      <c r="N155" s="144" t="s">
        <v>691</v>
      </c>
      <c r="O155" s="144"/>
      <c r="P155" s="144"/>
      <c r="Q155" s="144"/>
      <c r="R155" s="160">
        <v>26</v>
      </c>
      <c r="S155" s="160"/>
      <c r="T155" s="63"/>
      <c r="X155" s="63"/>
      <c r="Y155" s="63"/>
      <c r="Z155" s="63"/>
      <c r="AA155" s="63"/>
      <c r="AB155" s="63"/>
      <c r="AC155" s="63"/>
      <c r="AD155" s="63"/>
    </row>
    <row r="156" spans="1:20" ht="18" customHeight="1">
      <c r="A156" s="39"/>
      <c r="B156" s="32"/>
      <c r="C156" s="30"/>
      <c r="D156" s="181" t="s">
        <v>694</v>
      </c>
      <c r="E156" s="182"/>
      <c r="F156" s="182"/>
      <c r="G156" s="182"/>
      <c r="H156" s="182"/>
      <c r="I156" s="182"/>
      <c r="J156" s="182"/>
      <c r="K156" s="182"/>
      <c r="L156" s="140"/>
      <c r="M156" s="141"/>
      <c r="N156" s="144"/>
      <c r="O156" s="144"/>
      <c r="P156" s="144"/>
      <c r="Q156" s="144"/>
      <c r="R156" s="144"/>
      <c r="S156" s="144"/>
      <c r="T156" s="63"/>
    </row>
    <row r="157" spans="1:20" ht="17.25" customHeight="1">
      <c r="A157" s="39"/>
      <c r="B157" s="32"/>
      <c r="C157" s="30"/>
      <c r="D157" s="143" t="s">
        <v>637</v>
      </c>
      <c r="E157" s="143"/>
      <c r="F157" s="143"/>
      <c r="G157" s="143"/>
      <c r="H157" s="143"/>
      <c r="I157" s="143"/>
      <c r="J157" s="143"/>
      <c r="K157" s="143"/>
      <c r="L157" s="140" t="s">
        <v>690</v>
      </c>
      <c r="M157" s="141"/>
      <c r="N157" s="140" t="s">
        <v>603</v>
      </c>
      <c r="O157" s="142"/>
      <c r="P157" s="142"/>
      <c r="Q157" s="141"/>
      <c r="R157" s="133">
        <f>2000/R155</f>
        <v>76.92307692307692</v>
      </c>
      <c r="S157" s="134"/>
      <c r="T157" s="63"/>
    </row>
    <row r="158" spans="1:20" ht="18" customHeight="1">
      <c r="A158" s="39"/>
      <c r="B158" s="32"/>
      <c r="C158" s="30"/>
      <c r="D158" s="181" t="s">
        <v>697</v>
      </c>
      <c r="E158" s="182"/>
      <c r="F158" s="182"/>
      <c r="G158" s="182"/>
      <c r="H158" s="182"/>
      <c r="I158" s="182"/>
      <c r="J158" s="182"/>
      <c r="K158" s="182"/>
      <c r="L158" s="140"/>
      <c r="M158" s="141"/>
      <c r="N158" s="144"/>
      <c r="O158" s="144"/>
      <c r="P158" s="144"/>
      <c r="Q158" s="144"/>
      <c r="R158" s="144"/>
      <c r="S158" s="144"/>
      <c r="T158" s="63"/>
    </row>
    <row r="159" spans="1:20" ht="50.25" customHeight="1">
      <c r="A159" s="39"/>
      <c r="B159" s="30"/>
      <c r="C159" s="30"/>
      <c r="D159" s="184" t="s">
        <v>638</v>
      </c>
      <c r="E159" s="185"/>
      <c r="F159" s="185"/>
      <c r="G159" s="185"/>
      <c r="H159" s="185"/>
      <c r="I159" s="185"/>
      <c r="J159" s="185"/>
      <c r="K159" s="186"/>
      <c r="L159" s="140" t="s">
        <v>696</v>
      </c>
      <c r="M159" s="141"/>
      <c r="N159" s="140" t="s">
        <v>603</v>
      </c>
      <c r="O159" s="142"/>
      <c r="P159" s="142"/>
      <c r="Q159" s="141"/>
      <c r="R159" s="177">
        <v>100</v>
      </c>
      <c r="S159" s="177"/>
      <c r="T159" s="63"/>
    </row>
    <row r="160" spans="1:20" ht="33.75" customHeight="1">
      <c r="A160" s="39"/>
      <c r="B160" s="30" t="s">
        <v>683</v>
      </c>
      <c r="C160" s="30" t="s">
        <v>721</v>
      </c>
      <c r="D160" s="144" t="s">
        <v>225</v>
      </c>
      <c r="E160" s="144"/>
      <c r="F160" s="144"/>
      <c r="G160" s="144"/>
      <c r="H160" s="144"/>
      <c r="I160" s="144"/>
      <c r="J160" s="144"/>
      <c r="K160" s="144"/>
      <c r="L160" s="140" t="s">
        <v>715</v>
      </c>
      <c r="M160" s="141"/>
      <c r="N160" s="144" t="s">
        <v>687</v>
      </c>
      <c r="O160" s="144"/>
      <c r="P160" s="144"/>
      <c r="Q160" s="144"/>
      <c r="R160" s="144" t="s">
        <v>733</v>
      </c>
      <c r="S160" s="187"/>
      <c r="T160" s="63"/>
    </row>
    <row r="161" spans="1:20" ht="15.75">
      <c r="A161" s="39"/>
      <c r="B161" s="30">
        <v>1</v>
      </c>
      <c r="C161" s="30">
        <v>2</v>
      </c>
      <c r="D161" s="205">
        <v>3</v>
      </c>
      <c r="E161" s="206"/>
      <c r="F161" s="206"/>
      <c r="G161" s="206"/>
      <c r="H161" s="206"/>
      <c r="I161" s="206"/>
      <c r="J161" s="206"/>
      <c r="K161" s="207"/>
      <c r="L161" s="140">
        <v>4</v>
      </c>
      <c r="M161" s="141"/>
      <c r="N161" s="144">
        <v>5</v>
      </c>
      <c r="O161" s="144"/>
      <c r="P161" s="144"/>
      <c r="Q161" s="144"/>
      <c r="R161" s="144">
        <v>6</v>
      </c>
      <c r="S161" s="187"/>
      <c r="T161" s="63"/>
    </row>
    <row r="162" spans="1:20" ht="22.5" customHeight="1">
      <c r="A162" s="39"/>
      <c r="B162" s="30"/>
      <c r="C162" s="32"/>
      <c r="D162" s="178" t="s">
        <v>604</v>
      </c>
      <c r="E162" s="179"/>
      <c r="F162" s="179"/>
      <c r="G162" s="179"/>
      <c r="H162" s="179"/>
      <c r="I162" s="179"/>
      <c r="J162" s="179"/>
      <c r="K162" s="179"/>
      <c r="L162" s="179"/>
      <c r="M162" s="179"/>
      <c r="N162" s="179"/>
      <c r="O162" s="179"/>
      <c r="P162" s="179"/>
      <c r="Q162" s="179"/>
      <c r="R162" s="179"/>
      <c r="S162" s="180"/>
      <c r="T162" s="63"/>
    </row>
    <row r="163" spans="1:20" ht="19.5" customHeight="1">
      <c r="A163" s="39"/>
      <c r="B163" s="32"/>
      <c r="C163" s="41"/>
      <c r="D163" s="181" t="s">
        <v>688</v>
      </c>
      <c r="E163" s="182"/>
      <c r="F163" s="182"/>
      <c r="G163" s="182"/>
      <c r="H163" s="182"/>
      <c r="I163" s="182"/>
      <c r="J163" s="182"/>
      <c r="K163" s="183"/>
      <c r="L163" s="140"/>
      <c r="M163" s="141"/>
      <c r="N163" s="144"/>
      <c r="O163" s="144"/>
      <c r="P163" s="144"/>
      <c r="Q163" s="144"/>
      <c r="R163" s="188"/>
      <c r="S163" s="190"/>
      <c r="T163" s="63"/>
    </row>
    <row r="164" spans="1:20" ht="18" customHeight="1">
      <c r="A164" s="39"/>
      <c r="B164" s="32"/>
      <c r="C164" s="41"/>
      <c r="D164" s="184" t="s">
        <v>736</v>
      </c>
      <c r="E164" s="185"/>
      <c r="F164" s="185"/>
      <c r="G164" s="185"/>
      <c r="H164" s="185"/>
      <c r="I164" s="185"/>
      <c r="J164" s="185"/>
      <c r="K164" s="186"/>
      <c r="L164" s="140" t="s">
        <v>690</v>
      </c>
      <c r="M164" s="141"/>
      <c r="N164" s="144" t="s">
        <v>568</v>
      </c>
      <c r="O164" s="144"/>
      <c r="P164" s="144"/>
      <c r="Q164" s="144"/>
      <c r="R164" s="188">
        <f>Q56</f>
        <v>28000</v>
      </c>
      <c r="S164" s="187"/>
      <c r="T164" s="63"/>
    </row>
    <row r="165" spans="1:20" ht="36.75" customHeight="1">
      <c r="A165" s="39"/>
      <c r="B165" s="32"/>
      <c r="C165" s="30"/>
      <c r="D165" s="184" t="s">
        <v>640</v>
      </c>
      <c r="E165" s="185"/>
      <c r="F165" s="185"/>
      <c r="G165" s="185"/>
      <c r="H165" s="185"/>
      <c r="I165" s="185"/>
      <c r="J165" s="185"/>
      <c r="K165" s="185"/>
      <c r="L165" s="140" t="s">
        <v>115</v>
      </c>
      <c r="M165" s="141"/>
      <c r="N165" s="144" t="s">
        <v>209</v>
      </c>
      <c r="O165" s="144"/>
      <c r="P165" s="144"/>
      <c r="Q165" s="144"/>
      <c r="R165" s="191">
        <v>33.093</v>
      </c>
      <c r="S165" s="191"/>
      <c r="T165" s="63"/>
    </row>
    <row r="166" spans="1:30" ht="19.5" customHeight="1">
      <c r="A166" s="39"/>
      <c r="B166" s="32"/>
      <c r="C166" s="30"/>
      <c r="D166" s="181" t="s">
        <v>693</v>
      </c>
      <c r="E166" s="182"/>
      <c r="F166" s="182"/>
      <c r="G166" s="182"/>
      <c r="H166" s="182"/>
      <c r="I166" s="182"/>
      <c r="J166" s="182"/>
      <c r="K166" s="182"/>
      <c r="L166" s="140"/>
      <c r="M166" s="141"/>
      <c r="N166" s="144"/>
      <c r="O166" s="144"/>
      <c r="P166" s="144"/>
      <c r="Q166" s="144"/>
      <c r="R166" s="188"/>
      <c r="S166" s="188"/>
      <c r="T166" s="63"/>
      <c r="X166" s="36"/>
      <c r="Y166" s="36"/>
      <c r="Z166" s="36"/>
      <c r="AA166" s="36"/>
      <c r="AB166" s="36"/>
      <c r="AC166" s="36"/>
      <c r="AD166" s="36"/>
    </row>
    <row r="167" spans="1:30" ht="27.75" customHeight="1">
      <c r="A167" s="39"/>
      <c r="B167" s="32"/>
      <c r="C167" s="30"/>
      <c r="D167" s="184" t="s">
        <v>639</v>
      </c>
      <c r="E167" s="185"/>
      <c r="F167" s="185"/>
      <c r="G167" s="185"/>
      <c r="H167" s="185"/>
      <c r="I167" s="185"/>
      <c r="J167" s="185"/>
      <c r="K167" s="185"/>
      <c r="L167" s="140" t="s">
        <v>115</v>
      </c>
      <c r="M167" s="141"/>
      <c r="N167" s="144" t="s">
        <v>691</v>
      </c>
      <c r="O167" s="144"/>
      <c r="P167" s="144"/>
      <c r="Q167" s="144"/>
      <c r="R167" s="191">
        <v>33.093</v>
      </c>
      <c r="S167" s="191"/>
      <c r="T167" s="63"/>
      <c r="X167" s="63"/>
      <c r="Y167" s="63"/>
      <c r="Z167" s="63"/>
      <c r="AA167" s="63"/>
      <c r="AB167" s="63"/>
      <c r="AC167" s="63"/>
      <c r="AD167" s="63"/>
    </row>
    <row r="168" spans="1:30" ht="21" customHeight="1">
      <c r="A168" s="39"/>
      <c r="B168" s="32"/>
      <c r="C168" s="30"/>
      <c r="D168" s="181" t="s">
        <v>694</v>
      </c>
      <c r="E168" s="182"/>
      <c r="F168" s="182"/>
      <c r="G168" s="182"/>
      <c r="H168" s="182"/>
      <c r="I168" s="182"/>
      <c r="J168" s="182"/>
      <c r="K168" s="182"/>
      <c r="L168" s="140"/>
      <c r="M168" s="141"/>
      <c r="N168" s="144"/>
      <c r="O168" s="144"/>
      <c r="P168" s="144"/>
      <c r="Q168" s="144"/>
      <c r="R168" s="188"/>
      <c r="S168" s="188"/>
      <c r="T168" s="63"/>
      <c r="X168" s="36"/>
      <c r="Y168" s="36"/>
      <c r="Z168" s="36"/>
      <c r="AA168" s="36"/>
      <c r="AB168" s="36"/>
      <c r="AC168" s="36"/>
      <c r="AD168" s="36"/>
    </row>
    <row r="169" spans="1:20" ht="27.75" customHeight="1">
      <c r="A169" s="39"/>
      <c r="B169" s="32"/>
      <c r="C169" s="30"/>
      <c r="D169" s="143" t="s">
        <v>641</v>
      </c>
      <c r="E169" s="143"/>
      <c r="F169" s="143"/>
      <c r="G169" s="143"/>
      <c r="H169" s="143"/>
      <c r="I169" s="143"/>
      <c r="J169" s="143"/>
      <c r="K169" s="143"/>
      <c r="L169" s="140" t="s">
        <v>695</v>
      </c>
      <c r="M169" s="141"/>
      <c r="N169" s="140" t="s">
        <v>603</v>
      </c>
      <c r="O169" s="142"/>
      <c r="P169" s="142"/>
      <c r="Q169" s="141"/>
      <c r="R169" s="221">
        <f>28000/R167</f>
        <v>846.1003837669597</v>
      </c>
      <c r="S169" s="222"/>
      <c r="T169" s="63"/>
    </row>
    <row r="170" spans="1:20" ht="18" customHeight="1">
      <c r="A170" s="39"/>
      <c r="B170" s="32"/>
      <c r="C170" s="30"/>
      <c r="D170" s="181" t="s">
        <v>697</v>
      </c>
      <c r="E170" s="182"/>
      <c r="F170" s="182"/>
      <c r="G170" s="182"/>
      <c r="H170" s="182"/>
      <c r="I170" s="182"/>
      <c r="J170" s="182"/>
      <c r="K170" s="182"/>
      <c r="L170" s="140"/>
      <c r="M170" s="141"/>
      <c r="N170" s="144"/>
      <c r="O170" s="144"/>
      <c r="P170" s="144"/>
      <c r="Q170" s="144"/>
      <c r="R170" s="188"/>
      <c r="S170" s="188"/>
      <c r="T170" s="63"/>
    </row>
    <row r="171" spans="1:20" ht="43.5" customHeight="1">
      <c r="A171" s="39"/>
      <c r="B171" s="32"/>
      <c r="C171" s="30"/>
      <c r="D171" s="213" t="s">
        <v>642</v>
      </c>
      <c r="E171" s="214"/>
      <c r="F171" s="214"/>
      <c r="G171" s="214"/>
      <c r="H171" s="214"/>
      <c r="I171" s="214"/>
      <c r="J171" s="214"/>
      <c r="K171" s="215"/>
      <c r="L171" s="140" t="s">
        <v>696</v>
      </c>
      <c r="M171" s="141"/>
      <c r="N171" s="140" t="s">
        <v>603</v>
      </c>
      <c r="O171" s="142"/>
      <c r="P171" s="142"/>
      <c r="Q171" s="141"/>
      <c r="R171" s="188">
        <f>R165/R167*100</f>
        <v>100</v>
      </c>
      <c r="S171" s="188"/>
      <c r="T171" s="63"/>
    </row>
    <row r="172" spans="1:20" ht="14.25" customHeight="1">
      <c r="A172" s="39"/>
      <c r="B172" s="90"/>
      <c r="C172" s="39"/>
      <c r="D172" s="101"/>
      <c r="E172" s="101"/>
      <c r="F172" s="101"/>
      <c r="G172" s="101"/>
      <c r="H172" s="101"/>
      <c r="I172" s="101"/>
      <c r="J172" s="101"/>
      <c r="K172" s="101"/>
      <c r="L172" s="56"/>
      <c r="M172" s="56"/>
      <c r="N172" s="56"/>
      <c r="O172" s="56"/>
      <c r="P172" s="56"/>
      <c r="Q172" s="56"/>
      <c r="R172" s="102"/>
      <c r="S172" s="102"/>
      <c r="T172" s="63"/>
    </row>
    <row r="173" spans="1:20" ht="33.75" customHeight="1">
      <c r="A173" s="39"/>
      <c r="B173" s="30" t="s">
        <v>683</v>
      </c>
      <c r="C173" s="30" t="s">
        <v>721</v>
      </c>
      <c r="D173" s="144" t="s">
        <v>225</v>
      </c>
      <c r="E173" s="144"/>
      <c r="F173" s="144"/>
      <c r="G173" s="144"/>
      <c r="H173" s="144"/>
      <c r="I173" s="144"/>
      <c r="J173" s="144"/>
      <c r="K173" s="144"/>
      <c r="L173" s="140" t="s">
        <v>715</v>
      </c>
      <c r="M173" s="141"/>
      <c r="N173" s="144" t="s">
        <v>687</v>
      </c>
      <c r="O173" s="144"/>
      <c r="P173" s="144"/>
      <c r="Q173" s="144"/>
      <c r="R173" s="144" t="s">
        <v>733</v>
      </c>
      <c r="S173" s="187"/>
      <c r="T173" s="63"/>
    </row>
    <row r="174" spans="1:20" ht="17.25" customHeight="1">
      <c r="A174" s="39"/>
      <c r="B174" s="30">
        <v>1</v>
      </c>
      <c r="C174" s="30">
        <v>2</v>
      </c>
      <c r="D174" s="205">
        <v>3</v>
      </c>
      <c r="E174" s="206"/>
      <c r="F174" s="206"/>
      <c r="G174" s="206"/>
      <c r="H174" s="206"/>
      <c r="I174" s="206"/>
      <c r="J174" s="206"/>
      <c r="K174" s="207"/>
      <c r="L174" s="140">
        <v>4</v>
      </c>
      <c r="M174" s="141"/>
      <c r="N174" s="144">
        <v>5</v>
      </c>
      <c r="O174" s="144"/>
      <c r="P174" s="144"/>
      <c r="Q174" s="144"/>
      <c r="R174" s="144">
        <v>6</v>
      </c>
      <c r="S174" s="187"/>
      <c r="T174" s="63"/>
    </row>
    <row r="175" spans="1:20" ht="24" customHeight="1">
      <c r="A175" s="39"/>
      <c r="B175" s="30"/>
      <c r="C175" s="32">
        <v>4016022</v>
      </c>
      <c r="D175" s="178" t="s">
        <v>4</v>
      </c>
      <c r="E175" s="179"/>
      <c r="F175" s="179"/>
      <c r="G175" s="179"/>
      <c r="H175" s="179"/>
      <c r="I175" s="179"/>
      <c r="J175" s="179"/>
      <c r="K175" s="179"/>
      <c r="L175" s="179"/>
      <c r="M175" s="179"/>
      <c r="N175" s="179"/>
      <c r="O175" s="179"/>
      <c r="P175" s="179"/>
      <c r="Q175" s="179"/>
      <c r="R175" s="179"/>
      <c r="S175" s="180"/>
      <c r="T175" s="63"/>
    </row>
    <row r="176" spans="1:20" ht="25.5" customHeight="1">
      <c r="A176" s="39"/>
      <c r="B176" s="30"/>
      <c r="C176" s="32"/>
      <c r="D176" s="178" t="s">
        <v>80</v>
      </c>
      <c r="E176" s="179"/>
      <c r="F176" s="179"/>
      <c r="G176" s="179"/>
      <c r="H176" s="179"/>
      <c r="I176" s="179"/>
      <c r="J176" s="179"/>
      <c r="K176" s="179"/>
      <c r="L176" s="179"/>
      <c r="M176" s="179"/>
      <c r="N176" s="179"/>
      <c r="O176" s="179"/>
      <c r="P176" s="179"/>
      <c r="Q176" s="179"/>
      <c r="R176" s="179"/>
      <c r="S176" s="180"/>
      <c r="T176" s="63"/>
    </row>
    <row r="177" spans="1:20" ht="18.75" customHeight="1">
      <c r="A177" s="39"/>
      <c r="B177" s="32"/>
      <c r="C177" s="41"/>
      <c r="D177" s="181" t="s">
        <v>688</v>
      </c>
      <c r="E177" s="182"/>
      <c r="F177" s="182"/>
      <c r="G177" s="182"/>
      <c r="H177" s="182"/>
      <c r="I177" s="182"/>
      <c r="J177" s="182"/>
      <c r="K177" s="183"/>
      <c r="L177" s="140"/>
      <c r="M177" s="141"/>
      <c r="N177" s="144"/>
      <c r="O177" s="144"/>
      <c r="P177" s="144"/>
      <c r="Q177" s="144"/>
      <c r="R177" s="188"/>
      <c r="S177" s="190"/>
      <c r="T177" s="63"/>
    </row>
    <row r="178" spans="1:20" ht="22.5" customHeight="1">
      <c r="A178" s="39"/>
      <c r="B178" s="32"/>
      <c r="C178" s="41"/>
      <c r="D178" s="184" t="s">
        <v>736</v>
      </c>
      <c r="E178" s="185"/>
      <c r="F178" s="185"/>
      <c r="G178" s="185"/>
      <c r="H178" s="185"/>
      <c r="I178" s="185"/>
      <c r="J178" s="185"/>
      <c r="K178" s="186"/>
      <c r="L178" s="140" t="s">
        <v>690</v>
      </c>
      <c r="M178" s="141"/>
      <c r="N178" s="144" t="s">
        <v>568</v>
      </c>
      <c r="O178" s="144"/>
      <c r="P178" s="144"/>
      <c r="Q178" s="144"/>
      <c r="R178" s="196">
        <f>Q58</f>
        <v>1289.031</v>
      </c>
      <c r="S178" s="197"/>
      <c r="T178" s="63"/>
    </row>
    <row r="179" spans="1:20" ht="19.5" customHeight="1">
      <c r="A179" s="39"/>
      <c r="B179" s="32"/>
      <c r="C179" s="30"/>
      <c r="D179" s="184" t="s">
        <v>78</v>
      </c>
      <c r="E179" s="185"/>
      <c r="F179" s="185"/>
      <c r="G179" s="185"/>
      <c r="H179" s="185"/>
      <c r="I179" s="185"/>
      <c r="J179" s="185"/>
      <c r="K179" s="185"/>
      <c r="L179" s="140" t="s">
        <v>737</v>
      </c>
      <c r="M179" s="141"/>
      <c r="N179" s="144" t="s">
        <v>251</v>
      </c>
      <c r="O179" s="144"/>
      <c r="P179" s="144"/>
      <c r="Q179" s="144"/>
      <c r="R179" s="160">
        <f>1+1+5</f>
        <v>7</v>
      </c>
      <c r="S179" s="160"/>
      <c r="T179" s="63"/>
    </row>
    <row r="180" spans="1:20" ht="18.75" customHeight="1">
      <c r="A180" s="39"/>
      <c r="B180" s="32"/>
      <c r="C180" s="30"/>
      <c r="D180" s="181" t="s">
        <v>693</v>
      </c>
      <c r="E180" s="182"/>
      <c r="F180" s="182"/>
      <c r="G180" s="182"/>
      <c r="H180" s="182"/>
      <c r="I180" s="182"/>
      <c r="J180" s="182"/>
      <c r="K180" s="182"/>
      <c r="L180" s="140"/>
      <c r="M180" s="141"/>
      <c r="N180" s="144"/>
      <c r="O180" s="144"/>
      <c r="P180" s="144"/>
      <c r="Q180" s="144"/>
      <c r="R180" s="223"/>
      <c r="S180" s="223"/>
      <c r="T180" s="63"/>
    </row>
    <row r="181" spans="1:20" ht="20.25" customHeight="1">
      <c r="A181" s="39"/>
      <c r="B181" s="32"/>
      <c r="C181" s="30"/>
      <c r="D181" s="184" t="s">
        <v>79</v>
      </c>
      <c r="E181" s="185"/>
      <c r="F181" s="185"/>
      <c r="G181" s="185"/>
      <c r="H181" s="185"/>
      <c r="I181" s="185"/>
      <c r="J181" s="185"/>
      <c r="K181" s="185"/>
      <c r="L181" s="140" t="s">
        <v>737</v>
      </c>
      <c r="M181" s="141"/>
      <c r="N181" s="144" t="s">
        <v>251</v>
      </c>
      <c r="O181" s="144"/>
      <c r="P181" s="144"/>
      <c r="Q181" s="144"/>
      <c r="R181" s="160">
        <f>1+1+5</f>
        <v>7</v>
      </c>
      <c r="S181" s="160"/>
      <c r="T181" s="63"/>
    </row>
    <row r="182" spans="1:20" ht="19.5" customHeight="1">
      <c r="A182" s="39"/>
      <c r="B182" s="32"/>
      <c r="C182" s="30"/>
      <c r="D182" s="181" t="s">
        <v>694</v>
      </c>
      <c r="E182" s="182"/>
      <c r="F182" s="182"/>
      <c r="G182" s="182"/>
      <c r="H182" s="182"/>
      <c r="I182" s="182"/>
      <c r="J182" s="182"/>
      <c r="K182" s="182"/>
      <c r="L182" s="140"/>
      <c r="M182" s="141"/>
      <c r="N182" s="144"/>
      <c r="O182" s="144"/>
      <c r="P182" s="144"/>
      <c r="Q182" s="144"/>
      <c r="R182" s="188"/>
      <c r="S182" s="188"/>
      <c r="T182" s="63"/>
    </row>
    <row r="183" spans="1:20" ht="24" customHeight="1">
      <c r="A183" s="39"/>
      <c r="B183" s="32"/>
      <c r="C183" s="30"/>
      <c r="D183" s="143" t="s">
        <v>82</v>
      </c>
      <c r="E183" s="143"/>
      <c r="F183" s="143"/>
      <c r="G183" s="143"/>
      <c r="H183" s="143"/>
      <c r="I183" s="143"/>
      <c r="J183" s="143"/>
      <c r="K183" s="143"/>
      <c r="L183" s="140" t="s">
        <v>695</v>
      </c>
      <c r="M183" s="141"/>
      <c r="N183" s="140" t="s">
        <v>603</v>
      </c>
      <c r="O183" s="142"/>
      <c r="P183" s="142"/>
      <c r="Q183" s="141"/>
      <c r="R183" s="221">
        <f>R178/R181</f>
        <v>184.14728571428572</v>
      </c>
      <c r="S183" s="222"/>
      <c r="T183" s="63"/>
    </row>
    <row r="184" spans="1:20" ht="18.75" customHeight="1">
      <c r="A184" s="39"/>
      <c r="B184" s="32"/>
      <c r="C184" s="30"/>
      <c r="D184" s="181" t="s">
        <v>697</v>
      </c>
      <c r="E184" s="182"/>
      <c r="F184" s="182"/>
      <c r="G184" s="182"/>
      <c r="H184" s="182"/>
      <c r="I184" s="182"/>
      <c r="J184" s="182"/>
      <c r="K184" s="182"/>
      <c r="L184" s="140"/>
      <c r="M184" s="141"/>
      <c r="N184" s="144"/>
      <c r="O184" s="144"/>
      <c r="P184" s="144"/>
      <c r="Q184" s="144"/>
      <c r="R184" s="188"/>
      <c r="S184" s="188"/>
      <c r="T184" s="63"/>
    </row>
    <row r="185" spans="1:20" ht="36.75" customHeight="1">
      <c r="A185" s="39"/>
      <c r="B185" s="32"/>
      <c r="C185" s="30"/>
      <c r="D185" s="213" t="s">
        <v>81</v>
      </c>
      <c r="E185" s="214"/>
      <c r="F185" s="214"/>
      <c r="G185" s="214"/>
      <c r="H185" s="214"/>
      <c r="I185" s="214"/>
      <c r="J185" s="214"/>
      <c r="K185" s="215"/>
      <c r="L185" s="140" t="s">
        <v>696</v>
      </c>
      <c r="M185" s="141"/>
      <c r="N185" s="140" t="s">
        <v>603</v>
      </c>
      <c r="O185" s="142"/>
      <c r="P185" s="142"/>
      <c r="Q185" s="141"/>
      <c r="R185" s="188">
        <f>R179/R181*100</f>
        <v>100</v>
      </c>
      <c r="S185" s="188"/>
      <c r="T185" s="63"/>
    </row>
    <row r="186" spans="1:20" ht="13.5" customHeight="1">
      <c r="A186" s="39"/>
      <c r="B186" s="90"/>
      <c r="C186" s="39"/>
      <c r="D186" s="101"/>
      <c r="E186" s="101"/>
      <c r="F186" s="101"/>
      <c r="G186" s="101"/>
      <c r="H186" s="101"/>
      <c r="I186" s="101"/>
      <c r="J186" s="101"/>
      <c r="K186" s="101"/>
      <c r="L186" s="56"/>
      <c r="M186" s="56"/>
      <c r="N186" s="56"/>
      <c r="O186" s="56"/>
      <c r="P186" s="56"/>
      <c r="Q186" s="56"/>
      <c r="R186" s="102"/>
      <c r="S186" s="102"/>
      <c r="T186" s="63"/>
    </row>
    <row r="187" spans="1:2" ht="18.75" customHeight="1">
      <c r="A187" s="26" t="s">
        <v>42</v>
      </c>
      <c r="B187" s="21" t="s">
        <v>112</v>
      </c>
    </row>
    <row r="189" spans="2:20" ht="65.25" customHeight="1">
      <c r="B189" s="174" t="s">
        <v>699</v>
      </c>
      <c r="C189" s="174" t="s">
        <v>700</v>
      </c>
      <c r="D189" s="174"/>
      <c r="E189" s="174"/>
      <c r="F189" s="174"/>
      <c r="G189" s="174"/>
      <c r="H189" s="174" t="s">
        <v>721</v>
      </c>
      <c r="I189" s="144" t="s">
        <v>232</v>
      </c>
      <c r="J189" s="144"/>
      <c r="K189" s="144"/>
      <c r="L189" s="219" t="s">
        <v>734</v>
      </c>
      <c r="M189" s="219"/>
      <c r="N189" s="219"/>
      <c r="O189" s="219" t="s">
        <v>111</v>
      </c>
      <c r="P189" s="219"/>
      <c r="Q189" s="219"/>
      <c r="R189" s="219" t="s">
        <v>701</v>
      </c>
      <c r="S189" s="219"/>
      <c r="T189" s="219"/>
    </row>
    <row r="190" spans="2:20" ht="38.25" customHeight="1">
      <c r="B190" s="174"/>
      <c r="C190" s="174"/>
      <c r="D190" s="174"/>
      <c r="E190" s="174"/>
      <c r="F190" s="174"/>
      <c r="G190" s="174"/>
      <c r="H190" s="174"/>
      <c r="I190" s="49" t="s">
        <v>684</v>
      </c>
      <c r="J190" s="50" t="s">
        <v>685</v>
      </c>
      <c r="K190" s="50" t="s">
        <v>226</v>
      </c>
      <c r="L190" s="49" t="s">
        <v>684</v>
      </c>
      <c r="M190" s="50" t="s">
        <v>685</v>
      </c>
      <c r="N190" s="50" t="s">
        <v>226</v>
      </c>
      <c r="O190" s="49" t="s">
        <v>684</v>
      </c>
      <c r="P190" s="50" t="s">
        <v>685</v>
      </c>
      <c r="Q190" s="50" t="s">
        <v>226</v>
      </c>
      <c r="R190" s="219"/>
      <c r="S190" s="219"/>
      <c r="T190" s="219"/>
    </row>
    <row r="191" spans="2:20" ht="15" customHeight="1">
      <c r="B191" s="43">
        <v>1</v>
      </c>
      <c r="C191" s="220">
        <v>2</v>
      </c>
      <c r="D191" s="220"/>
      <c r="E191" s="220"/>
      <c r="F191" s="220"/>
      <c r="G191" s="220"/>
      <c r="H191" s="43">
        <v>3</v>
      </c>
      <c r="I191" s="38">
        <v>4</v>
      </c>
      <c r="J191" s="54">
        <v>5</v>
      </c>
      <c r="K191" s="54">
        <v>6</v>
      </c>
      <c r="L191" s="38">
        <v>7</v>
      </c>
      <c r="M191" s="54">
        <v>8</v>
      </c>
      <c r="N191" s="54">
        <v>9</v>
      </c>
      <c r="O191" s="38">
        <v>10</v>
      </c>
      <c r="P191" s="54">
        <v>11</v>
      </c>
      <c r="Q191" s="54">
        <v>12</v>
      </c>
      <c r="R191" s="218">
        <v>13</v>
      </c>
      <c r="S191" s="218"/>
      <c r="T191" s="218"/>
    </row>
    <row r="192" spans="2:20" ht="19.5" customHeight="1">
      <c r="B192" s="47"/>
      <c r="C192" s="217" t="s">
        <v>673</v>
      </c>
      <c r="D192" s="217"/>
      <c r="E192" s="217"/>
      <c r="F192" s="217"/>
      <c r="G192" s="217"/>
      <c r="H192" s="60"/>
      <c r="I192" s="48"/>
      <c r="J192" s="48"/>
      <c r="K192" s="47"/>
      <c r="L192" s="47"/>
      <c r="M192" s="47"/>
      <c r="N192" s="47"/>
      <c r="O192" s="47"/>
      <c r="P192" s="47"/>
      <c r="Q192" s="47"/>
      <c r="R192" s="216"/>
      <c r="S192" s="216"/>
      <c r="T192" s="216"/>
    </row>
    <row r="193" spans="2:20" ht="19.5" customHeight="1">
      <c r="B193" s="47"/>
      <c r="C193" s="217" t="s">
        <v>674</v>
      </c>
      <c r="D193" s="217"/>
      <c r="E193" s="217"/>
      <c r="F193" s="217"/>
      <c r="G193" s="217"/>
      <c r="H193" s="60"/>
      <c r="I193" s="47"/>
      <c r="J193" s="47"/>
      <c r="K193" s="47"/>
      <c r="L193" s="47"/>
      <c r="M193" s="47"/>
      <c r="N193" s="47"/>
      <c r="O193" s="47"/>
      <c r="P193" s="47"/>
      <c r="Q193" s="47"/>
      <c r="R193" s="216"/>
      <c r="S193" s="216"/>
      <c r="T193" s="216"/>
    </row>
    <row r="194" spans="2:20" ht="19.5" customHeight="1">
      <c r="B194" s="47"/>
      <c r="C194" s="217" t="s">
        <v>675</v>
      </c>
      <c r="D194" s="217"/>
      <c r="E194" s="217"/>
      <c r="F194" s="217"/>
      <c r="G194" s="217"/>
      <c r="H194" s="60"/>
      <c r="I194" s="47"/>
      <c r="J194" s="47"/>
      <c r="K194" s="47"/>
      <c r="L194" s="47"/>
      <c r="M194" s="47"/>
      <c r="N194" s="47"/>
      <c r="O194" s="47"/>
      <c r="P194" s="47"/>
      <c r="Q194" s="47"/>
      <c r="R194" s="216"/>
      <c r="S194" s="216"/>
      <c r="T194" s="216"/>
    </row>
    <row r="195" spans="2:20" ht="19.5" customHeight="1">
      <c r="B195" s="47"/>
      <c r="C195" s="217" t="s">
        <v>702</v>
      </c>
      <c r="D195" s="217"/>
      <c r="E195" s="217"/>
      <c r="F195" s="217"/>
      <c r="G195" s="217"/>
      <c r="H195" s="60"/>
      <c r="I195" s="33" t="s">
        <v>735</v>
      </c>
      <c r="J195" s="33"/>
      <c r="K195" s="33"/>
      <c r="L195" s="33" t="s">
        <v>735</v>
      </c>
      <c r="M195" s="33"/>
      <c r="N195" s="33"/>
      <c r="O195" s="33" t="s">
        <v>735</v>
      </c>
      <c r="P195" s="47"/>
      <c r="Q195" s="47"/>
      <c r="R195" s="216"/>
      <c r="S195" s="216"/>
      <c r="T195" s="216"/>
    </row>
    <row r="196" spans="2:20" ht="19.5" customHeight="1">
      <c r="B196" s="47"/>
      <c r="C196" s="217" t="s">
        <v>676</v>
      </c>
      <c r="D196" s="217"/>
      <c r="E196" s="217"/>
      <c r="F196" s="217"/>
      <c r="G196" s="217"/>
      <c r="H196" s="60"/>
      <c r="I196" s="47"/>
      <c r="J196" s="47"/>
      <c r="K196" s="47"/>
      <c r="L196" s="47"/>
      <c r="M196" s="47"/>
      <c r="N196" s="47"/>
      <c r="O196" s="47"/>
      <c r="P196" s="47"/>
      <c r="Q196" s="47"/>
      <c r="R196" s="216"/>
      <c r="S196" s="216"/>
      <c r="T196" s="216"/>
    </row>
    <row r="197" spans="2:20" ht="19.5" customHeight="1">
      <c r="B197" s="47"/>
      <c r="C197" s="217" t="s">
        <v>677</v>
      </c>
      <c r="D197" s="217"/>
      <c r="E197" s="217"/>
      <c r="F197" s="217"/>
      <c r="G197" s="217"/>
      <c r="H197" s="60"/>
      <c r="I197" s="47"/>
      <c r="J197" s="47"/>
      <c r="K197" s="47"/>
      <c r="L197" s="47"/>
      <c r="M197" s="47"/>
      <c r="N197" s="47"/>
      <c r="O197" s="47"/>
      <c r="P197" s="47"/>
      <c r="Q197" s="47"/>
      <c r="R197" s="216"/>
      <c r="S197" s="216"/>
      <c r="T197" s="216"/>
    </row>
    <row r="198" spans="2:20" ht="19.5" customHeight="1">
      <c r="B198" s="47"/>
      <c r="C198" s="217" t="s">
        <v>676</v>
      </c>
      <c r="D198" s="217"/>
      <c r="E198" s="217"/>
      <c r="F198" s="217"/>
      <c r="G198" s="217"/>
      <c r="H198" s="60"/>
      <c r="I198" s="47"/>
      <c r="J198" s="47"/>
      <c r="K198" s="47"/>
      <c r="L198" s="47"/>
      <c r="M198" s="47"/>
      <c r="N198" s="47"/>
      <c r="O198" s="47"/>
      <c r="P198" s="47"/>
      <c r="Q198" s="47"/>
      <c r="R198" s="216"/>
      <c r="S198" s="216"/>
      <c r="T198" s="216"/>
    </row>
    <row r="199" spans="2:20" ht="19.5" customHeight="1">
      <c r="B199" s="47"/>
      <c r="C199" s="217" t="s">
        <v>678</v>
      </c>
      <c r="D199" s="217"/>
      <c r="E199" s="217"/>
      <c r="F199" s="217"/>
      <c r="G199" s="217"/>
      <c r="H199" s="60"/>
      <c r="I199" s="47"/>
      <c r="J199" s="47"/>
      <c r="K199" s="47"/>
      <c r="L199" s="47"/>
      <c r="M199" s="47"/>
      <c r="N199" s="47"/>
      <c r="O199" s="47"/>
      <c r="P199" s="47"/>
      <c r="Q199" s="47"/>
      <c r="R199" s="216"/>
      <c r="S199" s="216"/>
      <c r="T199" s="216"/>
    </row>
    <row r="202" ht="18">
      <c r="A202" s="51" t="s">
        <v>227</v>
      </c>
    </row>
    <row r="203" ht="18">
      <c r="A203" s="51" t="s">
        <v>228</v>
      </c>
    </row>
    <row r="204" ht="18">
      <c r="A204" s="51" t="s">
        <v>229</v>
      </c>
    </row>
    <row r="207" spans="1:14" ht="18.75">
      <c r="A207" s="21" t="s">
        <v>804</v>
      </c>
      <c r="B207" s="53"/>
      <c r="C207" s="53"/>
      <c r="D207" s="53"/>
      <c r="E207" s="53"/>
      <c r="F207" s="53"/>
      <c r="G207" s="64"/>
      <c r="H207" s="64"/>
      <c r="I207" s="36"/>
      <c r="J207" s="36"/>
      <c r="K207" s="36"/>
      <c r="L207" s="36"/>
      <c r="M207" s="36"/>
      <c r="N207" s="36"/>
    </row>
    <row r="208" spans="1:15" ht="15.75">
      <c r="A208" s="45" t="s">
        <v>644</v>
      </c>
      <c r="B208" s="45"/>
      <c r="C208" s="45"/>
      <c r="D208" s="45"/>
      <c r="I208" s="226"/>
      <c r="J208" s="226"/>
      <c r="L208" s="225" t="s">
        <v>762</v>
      </c>
      <c r="M208" s="225"/>
      <c r="N208" s="225"/>
      <c r="O208" s="225"/>
    </row>
    <row r="209" spans="1:15" ht="11.25" customHeight="1">
      <c r="A209" s="45"/>
      <c r="B209" s="45"/>
      <c r="C209" s="45"/>
      <c r="D209" s="45"/>
      <c r="I209" s="224" t="s">
        <v>703</v>
      </c>
      <c r="J209" s="224"/>
      <c r="L209" s="224" t="s">
        <v>230</v>
      </c>
      <c r="M209" s="224"/>
      <c r="N209" s="224"/>
      <c r="O209" s="224"/>
    </row>
    <row r="211" spans="1:8" ht="15.75">
      <c r="A211" s="21" t="s">
        <v>689</v>
      </c>
      <c r="G211" s="36"/>
      <c r="H211" s="36"/>
    </row>
    <row r="212" spans="1:15" ht="15.75">
      <c r="A212" s="21" t="s">
        <v>233</v>
      </c>
      <c r="I212" s="226"/>
      <c r="J212" s="226"/>
      <c r="K212" s="36"/>
      <c r="L212" s="225" t="s">
        <v>643</v>
      </c>
      <c r="M212" s="225"/>
      <c r="N212" s="225"/>
      <c r="O212" s="225"/>
    </row>
    <row r="213" spans="9:15" ht="15.75" customHeight="1">
      <c r="I213" s="224" t="s">
        <v>703</v>
      </c>
      <c r="J213" s="224"/>
      <c r="L213" s="224" t="s">
        <v>230</v>
      </c>
      <c r="M213" s="224"/>
      <c r="N213" s="224"/>
      <c r="O213" s="224"/>
    </row>
  </sheetData>
  <sheetProtection/>
  <mergeCells count="627">
    <mergeCell ref="R140:S140"/>
    <mergeCell ref="L124:M124"/>
    <mergeCell ref="L128:M128"/>
    <mergeCell ref="L126:M126"/>
    <mergeCell ref="N117:Q117"/>
    <mergeCell ref="R133:S133"/>
    <mergeCell ref="N121:Q121"/>
    <mergeCell ref="L123:M123"/>
    <mergeCell ref="L131:M131"/>
    <mergeCell ref="N119:Q119"/>
    <mergeCell ref="L118:M118"/>
    <mergeCell ref="D118:K118"/>
    <mergeCell ref="L121:M121"/>
    <mergeCell ref="N128:Q128"/>
    <mergeCell ref="D130:K130"/>
    <mergeCell ref="R142:S142"/>
    <mergeCell ref="D128:K128"/>
    <mergeCell ref="N140:Q140"/>
    <mergeCell ref="D139:K139"/>
    <mergeCell ref="N134:Q134"/>
    <mergeCell ref="R135:S135"/>
    <mergeCell ref="L134:M134"/>
    <mergeCell ref="D132:K132"/>
    <mergeCell ref="D137:K137"/>
    <mergeCell ref="N130:Q130"/>
    <mergeCell ref="D127:K127"/>
    <mergeCell ref="L127:M127"/>
    <mergeCell ref="L119:M119"/>
    <mergeCell ref="D120:K120"/>
    <mergeCell ref="D123:K123"/>
    <mergeCell ref="N118:Q118"/>
    <mergeCell ref="D124:K124"/>
    <mergeCell ref="N127:Q127"/>
    <mergeCell ref="N126:Q126"/>
    <mergeCell ref="D126:K126"/>
    <mergeCell ref="D133:K133"/>
    <mergeCell ref="L163:M163"/>
    <mergeCell ref="N145:Q145"/>
    <mergeCell ref="L155:M155"/>
    <mergeCell ref="L149:M149"/>
    <mergeCell ref="L144:M144"/>
    <mergeCell ref="D146:K146"/>
    <mergeCell ref="D154:K154"/>
    <mergeCell ref="L142:M142"/>
    <mergeCell ref="N142:Q142"/>
    <mergeCell ref="D163:K163"/>
    <mergeCell ref="L164:M164"/>
    <mergeCell ref="L161:M161"/>
    <mergeCell ref="N136:Q136"/>
    <mergeCell ref="N165:Q165"/>
    <mergeCell ref="L165:M165"/>
    <mergeCell ref="N138:Q138"/>
    <mergeCell ref="N146:Q146"/>
    <mergeCell ref="D157:K157"/>
    <mergeCell ref="D142:K142"/>
    <mergeCell ref="N87:Q87"/>
    <mergeCell ref="D140:K140"/>
    <mergeCell ref="N139:Q139"/>
    <mergeCell ref="L168:M168"/>
    <mergeCell ref="N158:Q158"/>
    <mergeCell ref="L160:M160"/>
    <mergeCell ref="N148:Q148"/>
    <mergeCell ref="N164:Q164"/>
    <mergeCell ref="N144:Q144"/>
    <mergeCell ref="L138:M138"/>
    <mergeCell ref="N86:Q86"/>
    <mergeCell ref="N84:Q84"/>
    <mergeCell ref="L117:M117"/>
    <mergeCell ref="N115:Q115"/>
    <mergeCell ref="N132:Q132"/>
    <mergeCell ref="N135:Q135"/>
    <mergeCell ref="L129:M129"/>
    <mergeCell ref="N103:Q103"/>
    <mergeCell ref="L89:M89"/>
    <mergeCell ref="N89:Q89"/>
    <mergeCell ref="R173:S173"/>
    <mergeCell ref="R171:S171"/>
    <mergeCell ref="D170:K170"/>
    <mergeCell ref="L170:M170"/>
    <mergeCell ref="N174:Q174"/>
    <mergeCell ref="N170:Q170"/>
    <mergeCell ref="L174:M174"/>
    <mergeCell ref="O66:P66"/>
    <mergeCell ref="N104:Q104"/>
    <mergeCell ref="N101:Q101"/>
    <mergeCell ref="N82:Q82"/>
    <mergeCell ref="O67:P67"/>
    <mergeCell ref="I69:J69"/>
    <mergeCell ref="L84:M84"/>
    <mergeCell ref="L83:M83"/>
    <mergeCell ref="N78:Q78"/>
    <mergeCell ref="L81:M81"/>
    <mergeCell ref="M68:N68"/>
    <mergeCell ref="M66:N66"/>
    <mergeCell ref="D108:K108"/>
    <mergeCell ref="N81:Q81"/>
    <mergeCell ref="N83:Q83"/>
    <mergeCell ref="M67:N67"/>
    <mergeCell ref="L79:M79"/>
    <mergeCell ref="L107:M107"/>
    <mergeCell ref="L73:M73"/>
    <mergeCell ref="L80:M80"/>
    <mergeCell ref="B64:H64"/>
    <mergeCell ref="D111:K111"/>
    <mergeCell ref="I64:J64"/>
    <mergeCell ref="K64:L64"/>
    <mergeCell ref="O65:P65"/>
    <mergeCell ref="D116:K116"/>
    <mergeCell ref="D114:K114"/>
    <mergeCell ref="D109:K109"/>
    <mergeCell ref="N109:Q109"/>
    <mergeCell ref="L113:M113"/>
    <mergeCell ref="I63:J63"/>
    <mergeCell ref="E58:N58"/>
    <mergeCell ref="O57:P57"/>
    <mergeCell ref="O58:P58"/>
    <mergeCell ref="E57:N57"/>
    <mergeCell ref="K63:L63"/>
    <mergeCell ref="M63:N63"/>
    <mergeCell ref="Q58:R58"/>
    <mergeCell ref="S59:T59"/>
    <mergeCell ref="E56:N56"/>
    <mergeCell ref="Q59:R59"/>
    <mergeCell ref="S57:T57"/>
    <mergeCell ref="O64:P64"/>
    <mergeCell ref="M64:N64"/>
    <mergeCell ref="E59:N59"/>
    <mergeCell ref="O59:P59"/>
    <mergeCell ref="O63:P63"/>
    <mergeCell ref="S54:T54"/>
    <mergeCell ref="E55:N55"/>
    <mergeCell ref="O55:P55"/>
    <mergeCell ref="Q55:R55"/>
    <mergeCell ref="S56:T56"/>
    <mergeCell ref="O56:P56"/>
    <mergeCell ref="Q56:R56"/>
    <mergeCell ref="S55:T55"/>
    <mergeCell ref="E54:N54"/>
    <mergeCell ref="Q51:R51"/>
    <mergeCell ref="S51:T51"/>
    <mergeCell ref="O52:P52"/>
    <mergeCell ref="S52:T52"/>
    <mergeCell ref="S58:T58"/>
    <mergeCell ref="O54:P54"/>
    <mergeCell ref="S53:T53"/>
    <mergeCell ref="O51:P51"/>
    <mergeCell ref="Q57:R57"/>
    <mergeCell ref="Q54:R54"/>
    <mergeCell ref="E25:M25"/>
    <mergeCell ref="E52:N52"/>
    <mergeCell ref="B31:E31"/>
    <mergeCell ref="B25:C25"/>
    <mergeCell ref="E44:T44"/>
    <mergeCell ref="F31:G31"/>
    <mergeCell ref="B27:C27"/>
    <mergeCell ref="F33:G33"/>
    <mergeCell ref="E51:N51"/>
    <mergeCell ref="Q52:R52"/>
    <mergeCell ref="K8:Q8"/>
    <mergeCell ref="K13:L13"/>
    <mergeCell ref="A16:R16"/>
    <mergeCell ref="A17:R17"/>
    <mergeCell ref="B35:P35"/>
    <mergeCell ref="B21:C21"/>
    <mergeCell ref="E22:N22"/>
    <mergeCell ref="B28:C28"/>
    <mergeCell ref="B22:C22"/>
    <mergeCell ref="B24:C24"/>
    <mergeCell ref="O53:P53"/>
    <mergeCell ref="Q53:R53"/>
    <mergeCell ref="E53:N53"/>
    <mergeCell ref="A18:R18"/>
    <mergeCell ref="B37:T37"/>
    <mergeCell ref="E46:T46"/>
    <mergeCell ref="B36:T36"/>
    <mergeCell ref="F32:G32"/>
    <mergeCell ref="E45:T45"/>
    <mergeCell ref="G27:Q27"/>
    <mergeCell ref="N167:Q167"/>
    <mergeCell ref="D176:S176"/>
    <mergeCell ref="D153:K153"/>
    <mergeCell ref="N168:Q168"/>
    <mergeCell ref="D167:K167"/>
    <mergeCell ref="R169:S169"/>
    <mergeCell ref="R170:S170"/>
    <mergeCell ref="D155:K155"/>
    <mergeCell ref="R174:S174"/>
    <mergeCell ref="D169:K169"/>
    <mergeCell ref="L213:O213"/>
    <mergeCell ref="L209:O209"/>
    <mergeCell ref="C195:G195"/>
    <mergeCell ref="L212:O212"/>
    <mergeCell ref="I208:J208"/>
    <mergeCell ref="I209:J209"/>
    <mergeCell ref="I213:J213"/>
    <mergeCell ref="I212:J212"/>
    <mergeCell ref="L208:O208"/>
    <mergeCell ref="C198:G198"/>
    <mergeCell ref="N153:Q153"/>
    <mergeCell ref="D174:K174"/>
    <mergeCell ref="R180:S180"/>
    <mergeCell ref="R182:S182"/>
    <mergeCell ref="N169:Q169"/>
    <mergeCell ref="R181:S181"/>
    <mergeCell ref="R177:S177"/>
    <mergeCell ref="L169:M169"/>
    <mergeCell ref="D175:S175"/>
    <mergeCell ref="N177:Q177"/>
    <mergeCell ref="N183:Q183"/>
    <mergeCell ref="R185:S185"/>
    <mergeCell ref="R184:S184"/>
    <mergeCell ref="R179:S179"/>
    <mergeCell ref="N179:Q179"/>
    <mergeCell ref="N178:Q178"/>
    <mergeCell ref="N181:Q181"/>
    <mergeCell ref="R178:S178"/>
    <mergeCell ref="N182:Q182"/>
    <mergeCell ref="L151:M151"/>
    <mergeCell ref="B189:B190"/>
    <mergeCell ref="C189:G190"/>
    <mergeCell ref="H189:H190"/>
    <mergeCell ref="I189:K189"/>
    <mergeCell ref="L183:M183"/>
    <mergeCell ref="L185:M185"/>
    <mergeCell ref="L182:M182"/>
    <mergeCell ref="L167:M167"/>
    <mergeCell ref="D168:K168"/>
    <mergeCell ref="R166:S166"/>
    <mergeCell ref="D152:K152"/>
    <mergeCell ref="D161:K161"/>
    <mergeCell ref="C193:G193"/>
    <mergeCell ref="C194:G194"/>
    <mergeCell ref="C192:G192"/>
    <mergeCell ref="R183:S183"/>
    <mergeCell ref="N163:Q163"/>
    <mergeCell ref="N166:Q166"/>
    <mergeCell ref="D162:S162"/>
    <mergeCell ref="D148:K148"/>
    <mergeCell ref="D177:K177"/>
    <mergeCell ref="N173:Q173"/>
    <mergeCell ref="N184:Q184"/>
    <mergeCell ref="L180:M180"/>
    <mergeCell ref="D178:K178"/>
    <mergeCell ref="N180:Q180"/>
    <mergeCell ref="D182:K182"/>
    <mergeCell ref="L171:M171"/>
    <mergeCell ref="N171:Q171"/>
    <mergeCell ref="D184:K184"/>
    <mergeCell ref="N185:Q185"/>
    <mergeCell ref="L184:M184"/>
    <mergeCell ref="L189:N189"/>
    <mergeCell ref="O189:Q189"/>
    <mergeCell ref="C191:G191"/>
    <mergeCell ref="D185:K185"/>
    <mergeCell ref="R193:T193"/>
    <mergeCell ref="R198:T198"/>
    <mergeCell ref="R196:T196"/>
    <mergeCell ref="C196:G196"/>
    <mergeCell ref="R189:T190"/>
    <mergeCell ref="R194:T194"/>
    <mergeCell ref="R195:T195"/>
    <mergeCell ref="D181:K181"/>
    <mergeCell ref="D179:K179"/>
    <mergeCell ref="R199:T199"/>
    <mergeCell ref="C199:G199"/>
    <mergeCell ref="C197:G197"/>
    <mergeCell ref="D180:K180"/>
    <mergeCell ref="R197:T197"/>
    <mergeCell ref="R192:T192"/>
    <mergeCell ref="D183:K183"/>
    <mergeCell ref="R191:T191"/>
    <mergeCell ref="L179:M179"/>
    <mergeCell ref="D164:K164"/>
    <mergeCell ref="L173:M173"/>
    <mergeCell ref="D166:K166"/>
    <mergeCell ref="D173:K173"/>
    <mergeCell ref="D171:K171"/>
    <mergeCell ref="D165:K165"/>
    <mergeCell ref="L178:M178"/>
    <mergeCell ref="L177:M177"/>
    <mergeCell ref="L166:M166"/>
    <mergeCell ref="L181:M181"/>
    <mergeCell ref="D145:K145"/>
    <mergeCell ref="D144:K144"/>
    <mergeCell ref="L137:M137"/>
    <mergeCell ref="D117:K117"/>
    <mergeCell ref="D121:K121"/>
    <mergeCell ref="L130:M130"/>
    <mergeCell ref="L132:M132"/>
    <mergeCell ref="D135:K135"/>
    <mergeCell ref="D134:K134"/>
    <mergeCell ref="D131:K131"/>
    <mergeCell ref="L114:M114"/>
    <mergeCell ref="L140:M140"/>
    <mergeCell ref="D104:K104"/>
    <mergeCell ref="D100:K100"/>
    <mergeCell ref="D101:K101"/>
    <mergeCell ref="D115:K115"/>
    <mergeCell ref="D113:K113"/>
    <mergeCell ref="L116:M116"/>
    <mergeCell ref="L109:M109"/>
    <mergeCell ref="D97:K97"/>
    <mergeCell ref="L120:M120"/>
    <mergeCell ref="L105:M105"/>
    <mergeCell ref="D119:K119"/>
    <mergeCell ref="D112:K112"/>
    <mergeCell ref="D107:K107"/>
    <mergeCell ref="L103:M103"/>
    <mergeCell ref="D98:K98"/>
    <mergeCell ref="L102:M102"/>
    <mergeCell ref="D106:K106"/>
    <mergeCell ref="D149:K149"/>
    <mergeCell ref="R79:S79"/>
    <mergeCell ref="R82:S82"/>
    <mergeCell ref="R81:S81"/>
    <mergeCell ref="R83:S83"/>
    <mergeCell ref="L82:M82"/>
    <mergeCell ref="N79:Q79"/>
    <mergeCell ref="R80:S80"/>
    <mergeCell ref="N80:Q80"/>
    <mergeCell ref="D81:K81"/>
    <mergeCell ref="K66:L66"/>
    <mergeCell ref="B67:H67"/>
    <mergeCell ref="N74:Q74"/>
    <mergeCell ref="D74:K74"/>
    <mergeCell ref="N77:Q77"/>
    <mergeCell ref="D76:S76"/>
    <mergeCell ref="K67:L67"/>
    <mergeCell ref="N73:Q73"/>
    <mergeCell ref="O69:P69"/>
    <mergeCell ref="O68:P68"/>
    <mergeCell ref="I67:J67"/>
    <mergeCell ref="B65:H66"/>
    <mergeCell ref="I65:J65"/>
    <mergeCell ref="I66:J66"/>
    <mergeCell ref="R73:S73"/>
    <mergeCell ref="R74:S74"/>
    <mergeCell ref="M69:N69"/>
    <mergeCell ref="L74:M74"/>
    <mergeCell ref="M65:N65"/>
    <mergeCell ref="K65:L65"/>
    <mergeCell ref="K68:L68"/>
    <mergeCell ref="B68:H68"/>
    <mergeCell ref="I68:J68"/>
    <mergeCell ref="D78:K78"/>
    <mergeCell ref="D77:K77"/>
    <mergeCell ref="R78:S78"/>
    <mergeCell ref="D75:S75"/>
    <mergeCell ref="R77:S77"/>
    <mergeCell ref="D73:K73"/>
    <mergeCell ref="B69:H69"/>
    <mergeCell ref="K69:L69"/>
    <mergeCell ref="L77:M77"/>
    <mergeCell ref="D80:K80"/>
    <mergeCell ref="L78:M78"/>
    <mergeCell ref="D79:K79"/>
    <mergeCell ref="D94:K94"/>
    <mergeCell ref="D83:K83"/>
    <mergeCell ref="L87:M87"/>
    <mergeCell ref="D86:K86"/>
    <mergeCell ref="D82:K82"/>
    <mergeCell ref="D85:K85"/>
    <mergeCell ref="D92:K92"/>
    <mergeCell ref="L85:M85"/>
    <mergeCell ref="L86:M86"/>
    <mergeCell ref="R84:S84"/>
    <mergeCell ref="D84:K84"/>
    <mergeCell ref="D91:K91"/>
    <mergeCell ref="D87:K87"/>
    <mergeCell ref="D90:K90"/>
    <mergeCell ref="D88:K88"/>
    <mergeCell ref="D93:K93"/>
    <mergeCell ref="R165:S165"/>
    <mergeCell ref="R168:S168"/>
    <mergeCell ref="R164:S164"/>
    <mergeCell ref="R167:S167"/>
    <mergeCell ref="N149:Q149"/>
    <mergeCell ref="N161:Q161"/>
    <mergeCell ref="L153:M153"/>
    <mergeCell ref="R153:S153"/>
    <mergeCell ref="R160:S160"/>
    <mergeCell ref="D89:K89"/>
    <mergeCell ref="R90:S90"/>
    <mergeCell ref="R157:S157"/>
    <mergeCell ref="R163:S163"/>
    <mergeCell ref="R154:S154"/>
    <mergeCell ref="R155:S155"/>
    <mergeCell ref="R161:S161"/>
    <mergeCell ref="R151:S151"/>
    <mergeCell ref="R156:S156"/>
    <mergeCell ref="R146:S146"/>
    <mergeCell ref="R152:S152"/>
    <mergeCell ref="R145:S145"/>
    <mergeCell ref="N157:Q157"/>
    <mergeCell ref="L154:M154"/>
    <mergeCell ref="N154:Q154"/>
    <mergeCell ref="N155:Q155"/>
    <mergeCell ref="N156:Q156"/>
    <mergeCell ref="L152:M152"/>
    <mergeCell ref="L156:M156"/>
    <mergeCell ref="R148:S148"/>
    <mergeCell ref="R149:S149"/>
    <mergeCell ref="R144:S144"/>
    <mergeCell ref="R141:S141"/>
    <mergeCell ref="L159:M159"/>
    <mergeCell ref="N159:Q159"/>
    <mergeCell ref="L158:M158"/>
    <mergeCell ref="L145:M145"/>
    <mergeCell ref="L146:M146"/>
    <mergeCell ref="L148:M148"/>
    <mergeCell ref="L157:M157"/>
    <mergeCell ref="N151:Q151"/>
    <mergeCell ref="N152:Q152"/>
    <mergeCell ref="N160:Q160"/>
    <mergeCell ref="D150:S150"/>
    <mergeCell ref="D151:K151"/>
    <mergeCell ref="D160:K160"/>
    <mergeCell ref="D156:K156"/>
    <mergeCell ref="D158:K158"/>
    <mergeCell ref="D159:K159"/>
    <mergeCell ref="R158:S158"/>
    <mergeCell ref="R159:S159"/>
    <mergeCell ref="N116:Q116"/>
    <mergeCell ref="D103:K103"/>
    <mergeCell ref="L115:M115"/>
    <mergeCell ref="L100:M100"/>
    <mergeCell ref="L111:M111"/>
    <mergeCell ref="D105:K105"/>
    <mergeCell ref="R121:S121"/>
    <mergeCell ref="R124:S124"/>
    <mergeCell ref="R105:S105"/>
    <mergeCell ref="D95:K95"/>
    <mergeCell ref="D96:K96"/>
    <mergeCell ref="D99:K99"/>
    <mergeCell ref="D102:K102"/>
    <mergeCell ref="N124:Q124"/>
    <mergeCell ref="L122:M122"/>
    <mergeCell ref="N122:Q122"/>
    <mergeCell ref="N123:Q123"/>
    <mergeCell ref="D122:K122"/>
    <mergeCell ref="L101:M101"/>
    <mergeCell ref="R85:S85"/>
    <mergeCell ref="N85:Q85"/>
    <mergeCell ref="R115:S115"/>
    <mergeCell ref="N113:Q113"/>
    <mergeCell ref="N105:Q105"/>
    <mergeCell ref="N99:Q99"/>
    <mergeCell ref="R96:S96"/>
    <mergeCell ref="R87:S87"/>
    <mergeCell ref="R88:S88"/>
    <mergeCell ref="R86:S86"/>
    <mergeCell ref="R104:S104"/>
    <mergeCell ref="L104:M104"/>
    <mergeCell ref="N108:Q108"/>
    <mergeCell ref="N102:Q102"/>
    <mergeCell ref="L106:M106"/>
    <mergeCell ref="N107:Q107"/>
    <mergeCell ref="R102:S102"/>
    <mergeCell ref="R91:S91"/>
    <mergeCell ref="N91:Q91"/>
    <mergeCell ref="R89:S89"/>
    <mergeCell ref="R111:S111"/>
    <mergeCell ref="R100:S100"/>
    <mergeCell ref="N111:Q111"/>
    <mergeCell ref="R103:S103"/>
    <mergeCell ref="R109:S109"/>
    <mergeCell ref="N97:Q97"/>
    <mergeCell ref="R99:S99"/>
    <mergeCell ref="N88:Q88"/>
    <mergeCell ref="L93:M93"/>
    <mergeCell ref="N93:Q93"/>
    <mergeCell ref="L91:M91"/>
    <mergeCell ref="N90:Q90"/>
    <mergeCell ref="L90:M90"/>
    <mergeCell ref="L88:M88"/>
    <mergeCell ref="L92:M92"/>
    <mergeCell ref="L96:M96"/>
    <mergeCell ref="L97:M97"/>
    <mergeCell ref="L95:M95"/>
    <mergeCell ref="R93:S93"/>
    <mergeCell ref="N95:Q95"/>
    <mergeCell ref="N96:Q96"/>
    <mergeCell ref="R92:S92"/>
    <mergeCell ref="R95:S95"/>
    <mergeCell ref="R94:S94"/>
    <mergeCell ref="R98:S98"/>
    <mergeCell ref="L98:M98"/>
    <mergeCell ref="L94:M94"/>
    <mergeCell ref="L108:M108"/>
    <mergeCell ref="R101:S101"/>
    <mergeCell ref="R108:S108"/>
    <mergeCell ref="R106:S106"/>
    <mergeCell ref="R107:S107"/>
    <mergeCell ref="R97:S97"/>
    <mergeCell ref="N94:Q94"/>
    <mergeCell ref="L112:M112"/>
    <mergeCell ref="N110:Q110"/>
    <mergeCell ref="N106:Q106"/>
    <mergeCell ref="N112:Q112"/>
    <mergeCell ref="N98:Q98"/>
    <mergeCell ref="L99:M99"/>
    <mergeCell ref="N100:Q100"/>
    <mergeCell ref="N114:Q114"/>
    <mergeCell ref="L110:M110"/>
    <mergeCell ref="N141:Q141"/>
    <mergeCell ref="D125:K125"/>
    <mergeCell ref="L125:M125"/>
    <mergeCell ref="N125:Q125"/>
    <mergeCell ref="L136:M136"/>
    <mergeCell ref="D129:K129"/>
    <mergeCell ref="D136:K136"/>
    <mergeCell ref="D138:K138"/>
    <mergeCell ref="L139:M139"/>
    <mergeCell ref="N137:Q137"/>
    <mergeCell ref="R132:S132"/>
    <mergeCell ref="R134:S134"/>
    <mergeCell ref="R137:S137"/>
    <mergeCell ref="N133:Q133"/>
    <mergeCell ref="L133:M133"/>
    <mergeCell ref="R139:S139"/>
    <mergeCell ref="N129:Q129"/>
    <mergeCell ref="L135:M135"/>
    <mergeCell ref="N131:Q131"/>
    <mergeCell ref="N120:Q120"/>
    <mergeCell ref="R129:S129"/>
    <mergeCell ref="D110:K110"/>
    <mergeCell ref="R125:S125"/>
    <mergeCell ref="R112:S112"/>
    <mergeCell ref="R120:S120"/>
    <mergeCell ref="R122:S122"/>
    <mergeCell ref="Z92:AA92"/>
    <mergeCell ref="T100:U100"/>
    <mergeCell ref="R128:S128"/>
    <mergeCell ref="R118:S118"/>
    <mergeCell ref="R127:S127"/>
    <mergeCell ref="R119:S119"/>
    <mergeCell ref="R114:S114"/>
    <mergeCell ref="R117:S117"/>
    <mergeCell ref="R110:S110"/>
    <mergeCell ref="R113:S113"/>
    <mergeCell ref="T78:U78"/>
    <mergeCell ref="Z79:AA79"/>
    <mergeCell ref="Z80:AA80"/>
    <mergeCell ref="Z81:AA81"/>
    <mergeCell ref="Z90:AA90"/>
    <mergeCell ref="R131:S131"/>
    <mergeCell ref="R123:S123"/>
    <mergeCell ref="R130:S130"/>
    <mergeCell ref="R116:S116"/>
    <mergeCell ref="R126:S126"/>
    <mergeCell ref="Z91:AA91"/>
    <mergeCell ref="Z86:AA86"/>
    <mergeCell ref="Z87:AA87"/>
    <mergeCell ref="Z88:AA88"/>
    <mergeCell ref="Z82:AA82"/>
    <mergeCell ref="T102:U102"/>
    <mergeCell ref="Z89:AA89"/>
    <mergeCell ref="Z83:AA83"/>
    <mergeCell ref="Z84:AA84"/>
    <mergeCell ref="Z85:AA85"/>
    <mergeCell ref="T103:U103"/>
    <mergeCell ref="T97:U97"/>
    <mergeCell ref="T98:U98"/>
    <mergeCell ref="T99:U99"/>
    <mergeCell ref="T108:U108"/>
    <mergeCell ref="T101:U101"/>
    <mergeCell ref="T111:U111"/>
    <mergeCell ref="T112:U112"/>
    <mergeCell ref="T113:U113"/>
    <mergeCell ref="T104:U104"/>
    <mergeCell ref="T105:U105"/>
    <mergeCell ref="T106:U106"/>
    <mergeCell ref="T107:U107"/>
    <mergeCell ref="T118:U118"/>
    <mergeCell ref="T119:U119"/>
    <mergeCell ref="T130:U130"/>
    <mergeCell ref="T131:U131"/>
    <mergeCell ref="T114:U114"/>
    <mergeCell ref="T115:U115"/>
    <mergeCell ref="T116:U116"/>
    <mergeCell ref="T117:U117"/>
    <mergeCell ref="T132:U132"/>
    <mergeCell ref="T133:U133"/>
    <mergeCell ref="T120:U120"/>
    <mergeCell ref="T121:U121"/>
    <mergeCell ref="T122:U122"/>
    <mergeCell ref="T123:U123"/>
    <mergeCell ref="T124:U124"/>
    <mergeCell ref="T125:U125"/>
    <mergeCell ref="T146:U146"/>
    <mergeCell ref="N92:Q92"/>
    <mergeCell ref="T138:U138"/>
    <mergeCell ref="T139:U139"/>
    <mergeCell ref="T140:U140"/>
    <mergeCell ref="T141:U141"/>
    <mergeCell ref="T144:U144"/>
    <mergeCell ref="T145:U145"/>
    <mergeCell ref="T128:U128"/>
    <mergeCell ref="T129:U129"/>
    <mergeCell ref="T136:U136"/>
    <mergeCell ref="T137:U137"/>
    <mergeCell ref="R138:S138"/>
    <mergeCell ref="R136:S136"/>
    <mergeCell ref="D143:K143"/>
    <mergeCell ref="L143:M143"/>
    <mergeCell ref="N143:Q143"/>
    <mergeCell ref="R143:S143"/>
    <mergeCell ref="D141:K141"/>
    <mergeCell ref="L141:M141"/>
    <mergeCell ref="T134:U134"/>
    <mergeCell ref="T135:U135"/>
    <mergeCell ref="X79:Y79"/>
    <mergeCell ref="X80:Y80"/>
    <mergeCell ref="X81:Y81"/>
    <mergeCell ref="X82:Y82"/>
    <mergeCell ref="X91:Y91"/>
    <mergeCell ref="X92:Y92"/>
    <mergeCell ref="X84:Y84"/>
    <mergeCell ref="X83:Y83"/>
    <mergeCell ref="X103:Y103"/>
    <mergeCell ref="X93:Y93"/>
    <mergeCell ref="X85:Y85"/>
    <mergeCell ref="X86:Y86"/>
    <mergeCell ref="X87:Y87"/>
    <mergeCell ref="X88:Y88"/>
    <mergeCell ref="X89:Y89"/>
    <mergeCell ref="X90:Y90"/>
  </mergeCells>
  <printOptions/>
  <pageMargins left="0.1968503937007874" right="0.1968503937007874" top="0" bottom="0" header="0" footer="0"/>
  <pageSetup horizontalDpi="600" verticalDpi="600" orientation="landscape" paperSize="9" scale="80" r:id="rId1"/>
  <rowBreaks count="6" manualBreakCount="6">
    <brk id="41" max="255" man="1"/>
    <brk id="79" max="20" man="1"/>
    <brk id="107" max="20" man="1"/>
    <brk id="135" max="255" man="1"/>
    <brk id="159" max="255" man="1"/>
    <brk id="18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C693"/>
  <sheetViews>
    <sheetView view="pageBreakPreview" zoomScaleSheetLayoutView="100" zoomScalePageLayoutView="0" workbookViewId="0" topLeftCell="A634">
      <selection activeCell="R632" sqref="R632:S632"/>
    </sheetView>
  </sheetViews>
  <sheetFormatPr defaultColWidth="9.33203125" defaultRowHeight="11.25"/>
  <cols>
    <col min="1" max="1" width="4.5" style="0" customWidth="1"/>
    <col min="2" max="2" width="8" style="0" customWidth="1"/>
    <col min="3" max="3" width="11" style="0" customWidth="1"/>
    <col min="4" max="4" width="11.66015625" style="0" customWidth="1"/>
    <col min="5" max="5" width="11.33203125" style="0" customWidth="1"/>
    <col min="6" max="6" width="12.5" style="0" customWidth="1"/>
    <col min="7" max="7" width="11.5" style="0" customWidth="1"/>
    <col min="8" max="8" width="12.5" style="0" customWidth="1"/>
    <col min="9" max="9" width="12.33203125" style="0" customWidth="1"/>
    <col min="10" max="10" width="13" style="0" customWidth="1"/>
    <col min="11" max="11" width="12" style="0" customWidth="1"/>
    <col min="12" max="12" width="10.16015625" style="0" customWidth="1"/>
    <col min="13" max="13" width="11.33203125" style="0" customWidth="1"/>
    <col min="14" max="14" width="11" style="0" customWidth="1"/>
    <col min="15" max="16" width="8.5" style="0" customWidth="1"/>
    <col min="17" max="17" width="10.83203125" style="0" customWidth="1"/>
    <col min="18" max="18" width="9.83203125" style="0" bestFit="1" customWidth="1"/>
    <col min="19" max="19" width="7.83203125" style="0" customWidth="1"/>
    <col min="20" max="20" width="10.83203125" style="0" customWidth="1"/>
    <col min="21" max="21" width="11.5" style="0" customWidth="1"/>
    <col min="22" max="22" width="4.66015625" style="0" customWidth="1"/>
    <col min="23" max="23" width="5.66015625" style="0" customWidth="1"/>
    <col min="24" max="24" width="5.5" style="0" customWidth="1"/>
    <col min="25" max="25" width="10" style="0" customWidth="1"/>
    <col min="26" max="26" width="12" style="0" customWidth="1"/>
    <col min="27" max="27" width="5.5" style="0" customWidth="1"/>
  </cols>
  <sheetData>
    <row r="1" ht="12.75">
      <c r="K1" s="1" t="s">
        <v>705</v>
      </c>
    </row>
    <row r="2" ht="12.75">
      <c r="K2" s="1" t="s">
        <v>706</v>
      </c>
    </row>
    <row r="3" ht="12.75">
      <c r="K3" s="1" t="s">
        <v>725</v>
      </c>
    </row>
    <row r="6" spans="11:17" ht="15.75">
      <c r="K6" s="3" t="s">
        <v>43</v>
      </c>
      <c r="L6" s="3"/>
      <c r="M6" s="3"/>
      <c r="N6" s="3"/>
      <c r="O6" s="3"/>
      <c r="P6" s="3"/>
      <c r="Q6" s="3"/>
    </row>
    <row r="7" spans="11:17" ht="15.75">
      <c r="K7" s="4" t="s">
        <v>704</v>
      </c>
      <c r="L7" s="3"/>
      <c r="M7" s="3"/>
      <c r="N7" s="3"/>
      <c r="O7" s="3"/>
      <c r="P7" s="3"/>
      <c r="Q7" s="3"/>
    </row>
    <row r="8" spans="11:17" ht="15.75">
      <c r="K8" s="236" t="s">
        <v>44</v>
      </c>
      <c r="L8" s="236"/>
      <c r="M8" s="236"/>
      <c r="N8" s="236"/>
      <c r="O8" s="236"/>
      <c r="P8" s="236"/>
      <c r="Q8" s="236"/>
    </row>
    <row r="9" spans="11:17" ht="15">
      <c r="K9" s="42" t="s">
        <v>606</v>
      </c>
      <c r="L9" s="6"/>
      <c r="M9" s="6"/>
      <c r="N9" s="6"/>
      <c r="O9" s="6"/>
      <c r="P9" s="6"/>
      <c r="Q9" s="6"/>
    </row>
    <row r="10" spans="11:17" ht="15.75">
      <c r="K10" s="3"/>
      <c r="L10" s="3"/>
      <c r="M10" s="3"/>
      <c r="N10" s="3"/>
      <c r="O10" s="3"/>
      <c r="P10" s="3"/>
      <c r="Q10" s="3"/>
    </row>
    <row r="11" spans="11:17" ht="15.75">
      <c r="K11" s="8" t="s">
        <v>760</v>
      </c>
      <c r="L11" s="8"/>
      <c r="M11" s="8"/>
      <c r="N11" s="8"/>
      <c r="O11" s="8"/>
      <c r="P11" s="8"/>
      <c r="Q11" s="8"/>
    </row>
    <row r="12" spans="11:17" ht="15.75">
      <c r="K12" s="42" t="s">
        <v>607</v>
      </c>
      <c r="L12" s="9"/>
      <c r="M12" s="9"/>
      <c r="N12" s="9"/>
      <c r="O12" s="9"/>
      <c r="P12" s="9"/>
      <c r="Q12" s="9"/>
    </row>
    <row r="13" spans="11:17" ht="15.75">
      <c r="K13" s="123" t="str">
        <f>'6020'!K13:L13</f>
        <v>11.12.2017 р. № 288/72/ОД</v>
      </c>
      <c r="L13" s="123"/>
      <c r="M13" s="52"/>
      <c r="N13" s="35"/>
      <c r="O13" s="40"/>
      <c r="P13" s="23"/>
      <c r="Q13" s="23"/>
    </row>
    <row r="16" spans="1:18" ht="15.75">
      <c r="A16" s="230" t="s">
        <v>608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</row>
    <row r="17" spans="1:18" ht="15.75">
      <c r="A17" s="230" t="s">
        <v>609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</row>
    <row r="18" spans="1:18" ht="15.75">
      <c r="A18" s="230" t="s">
        <v>712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</row>
    <row r="21" spans="1:14" ht="15.75">
      <c r="A21" s="46" t="s">
        <v>610</v>
      </c>
      <c r="B21" s="239">
        <v>4000000</v>
      </c>
      <c r="C21" s="239"/>
      <c r="E21" s="14" t="s">
        <v>44</v>
      </c>
      <c r="F21" s="34"/>
      <c r="G21" s="34"/>
      <c r="H21" s="11"/>
      <c r="I21" s="11"/>
      <c r="J21" s="11"/>
      <c r="K21" s="11"/>
      <c r="L21" s="11"/>
      <c r="M21" s="11"/>
      <c r="N21" s="52"/>
    </row>
    <row r="22" spans="1:14" ht="18" customHeight="1">
      <c r="A22" s="44"/>
      <c r="B22" s="240" t="s">
        <v>611</v>
      </c>
      <c r="C22" s="240"/>
      <c r="E22" s="240" t="s">
        <v>612</v>
      </c>
      <c r="F22" s="240"/>
      <c r="G22" s="240"/>
      <c r="H22" s="240"/>
      <c r="I22" s="240"/>
      <c r="J22" s="240"/>
      <c r="K22" s="240"/>
      <c r="L22" s="240"/>
      <c r="M22" s="240"/>
      <c r="N22" s="240"/>
    </row>
    <row r="23" ht="11.25">
      <c r="A23" s="44"/>
    </row>
    <row r="24" spans="1:14" ht="15.75">
      <c r="A24" s="46" t="s">
        <v>613</v>
      </c>
      <c r="B24" s="239">
        <v>4010000</v>
      </c>
      <c r="C24" s="239"/>
      <c r="E24" s="14" t="s">
        <v>44</v>
      </c>
      <c r="F24" s="34"/>
      <c r="G24" s="34"/>
      <c r="H24" s="11"/>
      <c r="I24" s="11"/>
      <c r="J24" s="11"/>
      <c r="K24" s="11"/>
      <c r="L24" s="11"/>
      <c r="M24" s="11"/>
      <c r="N24" s="52"/>
    </row>
    <row r="25" spans="1:13" ht="17.25" customHeight="1">
      <c r="A25" s="44"/>
      <c r="B25" s="240" t="s">
        <v>611</v>
      </c>
      <c r="C25" s="240"/>
      <c r="E25" s="240" t="s">
        <v>614</v>
      </c>
      <c r="F25" s="240"/>
      <c r="G25" s="240"/>
      <c r="H25" s="240"/>
      <c r="I25" s="240"/>
      <c r="J25" s="240"/>
      <c r="K25" s="240"/>
      <c r="L25" s="240"/>
      <c r="M25" s="240"/>
    </row>
    <row r="26" ht="11.25">
      <c r="A26" s="44"/>
    </row>
    <row r="27" spans="1:17" ht="15.75" customHeight="1">
      <c r="A27" s="46" t="s">
        <v>615</v>
      </c>
      <c r="B27" s="239">
        <v>4016060</v>
      </c>
      <c r="C27" s="239"/>
      <c r="E27" s="75" t="s">
        <v>645</v>
      </c>
      <c r="G27" s="235" t="s">
        <v>717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2:17" ht="18.75">
      <c r="B28" s="430" t="s">
        <v>611</v>
      </c>
      <c r="C28" s="430"/>
      <c r="E28" s="13" t="s">
        <v>113</v>
      </c>
      <c r="F28" s="3"/>
      <c r="G28" s="2"/>
      <c r="H28" s="2"/>
      <c r="I28" s="13"/>
      <c r="J28" s="13" t="s">
        <v>616</v>
      </c>
      <c r="K28" s="13"/>
      <c r="L28" s="13"/>
      <c r="M28" s="13"/>
      <c r="N28" s="13"/>
      <c r="O28" s="12"/>
      <c r="P28" s="2"/>
      <c r="Q28" s="13"/>
    </row>
    <row r="31" spans="1:10" ht="38.25" customHeight="1">
      <c r="A31" s="10" t="s">
        <v>617</v>
      </c>
      <c r="B31" s="242" t="s">
        <v>726</v>
      </c>
      <c r="C31" s="242"/>
      <c r="D31" s="242"/>
      <c r="E31" s="242"/>
      <c r="F31" s="244">
        <f>F32+F33</f>
        <v>107500.68899999998</v>
      </c>
      <c r="G31" s="244"/>
      <c r="H31" s="7" t="s">
        <v>618</v>
      </c>
      <c r="I31" s="16"/>
      <c r="J31" s="5"/>
    </row>
    <row r="32" spans="1:13" ht="21.75" customHeight="1">
      <c r="A32" s="10"/>
      <c r="B32" s="3" t="s">
        <v>619</v>
      </c>
      <c r="C32" s="3"/>
      <c r="D32" s="2"/>
      <c r="E32" s="2"/>
      <c r="F32" s="427">
        <f>SUM(O52:P65)</f>
        <v>83249.54399999998</v>
      </c>
      <c r="G32" s="427"/>
      <c r="H32" s="7" t="s">
        <v>707</v>
      </c>
      <c r="I32" s="17"/>
      <c r="J32" s="5"/>
      <c r="M32" s="106"/>
    </row>
    <row r="33" spans="1:13" ht="18.75" customHeight="1">
      <c r="A33" s="10"/>
      <c r="B33" s="3" t="s">
        <v>620</v>
      </c>
      <c r="C33" s="3"/>
      <c r="D33" s="2"/>
      <c r="E33" s="2"/>
      <c r="F33" s="428">
        <f>SUM(Q52:R65)</f>
        <v>24251.145</v>
      </c>
      <c r="G33" s="428"/>
      <c r="H33" s="7" t="s">
        <v>708</v>
      </c>
      <c r="I33" s="16"/>
      <c r="J33" s="5"/>
      <c r="M33" s="106"/>
    </row>
    <row r="35" spans="1:16" ht="18.75" customHeight="1">
      <c r="A35" s="18" t="s">
        <v>621</v>
      </c>
      <c r="B35" s="238" t="s">
        <v>622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</row>
    <row r="36" spans="1:28" ht="36" customHeight="1">
      <c r="A36" s="55"/>
      <c r="B36" s="431" t="s">
        <v>48</v>
      </c>
      <c r="C36" s="431"/>
      <c r="D36" s="431"/>
      <c r="E36" s="431"/>
      <c r="F36" s="431"/>
      <c r="G36" s="431"/>
      <c r="H36" s="431"/>
      <c r="I36" s="431"/>
      <c r="J36" s="431"/>
      <c r="K36" s="431"/>
      <c r="L36" s="431"/>
      <c r="M36" s="431"/>
      <c r="N36" s="431"/>
      <c r="O36" s="431"/>
      <c r="P36" s="431"/>
      <c r="Q36" s="431"/>
      <c r="R36" s="431"/>
      <c r="S36" s="431"/>
      <c r="T36" s="431"/>
      <c r="U36" s="431"/>
      <c r="V36" s="431"/>
      <c r="W36" s="431"/>
      <c r="X36" s="431"/>
      <c r="Y36" s="431"/>
      <c r="Z36" s="431"/>
      <c r="AA36" s="431"/>
      <c r="AB36" s="55"/>
    </row>
    <row r="37" spans="1:28" ht="136.5" customHeight="1">
      <c r="A37" s="55"/>
      <c r="B37" s="432" t="s">
        <v>788</v>
      </c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  <c r="S37" s="432"/>
      <c r="T37" s="432"/>
      <c r="U37" s="432"/>
      <c r="V37" s="432"/>
      <c r="W37" s="432"/>
      <c r="X37" s="432"/>
      <c r="Y37" s="432"/>
      <c r="Z37" s="432"/>
      <c r="AA37" s="55"/>
      <c r="AB37" s="55"/>
    </row>
    <row r="38" spans="1:28" ht="10.5" customHeight="1">
      <c r="A38" s="55"/>
      <c r="B38" s="98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98"/>
      <c r="O38" s="9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55"/>
      <c r="AB38" s="55"/>
    </row>
    <row r="39" spans="1:19" ht="19.5" customHeight="1">
      <c r="A39" s="10" t="s">
        <v>623</v>
      </c>
      <c r="B39" s="19" t="s">
        <v>709</v>
      </c>
      <c r="C39" s="19"/>
      <c r="D39" s="19"/>
      <c r="F39" s="239" t="s">
        <v>671</v>
      </c>
      <c r="G39" s="239"/>
      <c r="H39" s="239"/>
      <c r="I39" s="239"/>
      <c r="J39" s="239"/>
      <c r="K39" s="239"/>
      <c r="L39" s="239"/>
      <c r="M39" s="239"/>
      <c r="N39" s="239"/>
      <c r="O39" s="36"/>
      <c r="P39" s="36"/>
      <c r="Q39" s="36"/>
      <c r="R39" s="36"/>
      <c r="S39" s="36"/>
    </row>
    <row r="40" spans="6:19" ht="15.75">
      <c r="F40" s="28"/>
      <c r="G40" s="36"/>
      <c r="H40" s="36"/>
      <c r="I40" s="36"/>
      <c r="J40" s="36"/>
      <c r="K40" s="36"/>
      <c r="L40" s="36"/>
      <c r="M40" s="22"/>
      <c r="N40" s="36"/>
      <c r="O40" s="36"/>
      <c r="P40" s="36"/>
      <c r="Q40" s="36"/>
      <c r="R40" s="36"/>
      <c r="S40" s="36"/>
    </row>
    <row r="41" ht="15" customHeight="1"/>
    <row r="42" spans="1:12" ht="15.75">
      <c r="A42" s="20" t="s">
        <v>624</v>
      </c>
      <c r="B42" s="21" t="s">
        <v>722</v>
      </c>
      <c r="C42" s="2"/>
      <c r="D42" s="21"/>
      <c r="E42" s="21"/>
      <c r="F42" s="21"/>
      <c r="G42" s="21"/>
      <c r="H42" s="21"/>
      <c r="I42" s="21"/>
      <c r="J42" s="21"/>
      <c r="K42" s="21"/>
      <c r="L42" s="21"/>
    </row>
    <row r="44" spans="1:20" ht="30.75" customHeight="1">
      <c r="A44" s="39"/>
      <c r="B44" s="30" t="s">
        <v>683</v>
      </c>
      <c r="C44" s="30" t="s">
        <v>721</v>
      </c>
      <c r="D44" s="30" t="s">
        <v>727</v>
      </c>
      <c r="E44" s="243" t="s">
        <v>720</v>
      </c>
      <c r="F44" s="243"/>
      <c r="G44" s="243"/>
      <c r="H44" s="243"/>
      <c r="I44" s="243"/>
      <c r="J44" s="243"/>
      <c r="K44" s="243"/>
      <c r="L44" s="243"/>
      <c r="M44" s="243"/>
      <c r="N44" s="243"/>
      <c r="O44" s="243"/>
      <c r="P44" s="243"/>
      <c r="Q44" s="243"/>
      <c r="R44" s="243"/>
      <c r="S44" s="243"/>
      <c r="T44" s="243"/>
    </row>
    <row r="45" spans="1:20" ht="16.5" customHeight="1">
      <c r="A45" s="24"/>
      <c r="B45" s="30"/>
      <c r="C45" s="30"/>
      <c r="D45" s="61"/>
      <c r="E45" s="232"/>
      <c r="F45" s="232"/>
      <c r="G45" s="232"/>
      <c r="H45" s="232"/>
      <c r="I45" s="232"/>
      <c r="J45" s="232"/>
      <c r="K45" s="232"/>
      <c r="L45" s="232"/>
      <c r="M45" s="232"/>
      <c r="N45" s="232"/>
      <c r="O45" s="232"/>
      <c r="P45" s="232"/>
      <c r="Q45" s="232"/>
      <c r="R45" s="232"/>
      <c r="S45" s="232"/>
      <c r="T45" s="232"/>
    </row>
    <row r="46" ht="8.25" customHeight="1">
      <c r="B46" s="39"/>
    </row>
    <row r="47" spans="1:2" ht="15.75">
      <c r="A47" s="10" t="s">
        <v>710</v>
      </c>
      <c r="B47" s="21" t="s">
        <v>723</v>
      </c>
    </row>
    <row r="48" ht="8.25" customHeight="1"/>
    <row r="49" spans="1:17" ht="14.2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Q49" s="37" t="s">
        <v>672</v>
      </c>
    </row>
    <row r="50" spans="2:20" ht="36" customHeight="1">
      <c r="B50" s="30" t="s">
        <v>683</v>
      </c>
      <c r="C50" s="30" t="s">
        <v>721</v>
      </c>
      <c r="D50" s="30" t="s">
        <v>727</v>
      </c>
      <c r="E50" s="209" t="s">
        <v>224</v>
      </c>
      <c r="F50" s="209"/>
      <c r="G50" s="209"/>
      <c r="H50" s="209"/>
      <c r="I50" s="209"/>
      <c r="J50" s="209"/>
      <c r="K50" s="209"/>
      <c r="L50" s="209"/>
      <c r="M50" s="209"/>
      <c r="N50" s="209"/>
      <c r="O50" s="209" t="s">
        <v>731</v>
      </c>
      <c r="P50" s="209"/>
      <c r="Q50" s="247" t="s">
        <v>732</v>
      </c>
      <c r="R50" s="247"/>
      <c r="S50" s="144" t="s">
        <v>686</v>
      </c>
      <c r="T50" s="144"/>
    </row>
    <row r="51" spans="2:20" ht="16.5" customHeight="1">
      <c r="B51" s="30">
        <v>1</v>
      </c>
      <c r="C51" s="30">
        <v>2</v>
      </c>
      <c r="D51" s="30">
        <v>3</v>
      </c>
      <c r="E51" s="209">
        <v>4</v>
      </c>
      <c r="F51" s="209"/>
      <c r="G51" s="209"/>
      <c r="H51" s="209"/>
      <c r="I51" s="209"/>
      <c r="J51" s="209"/>
      <c r="K51" s="209"/>
      <c r="L51" s="209"/>
      <c r="M51" s="209"/>
      <c r="N51" s="209"/>
      <c r="O51" s="209">
        <v>5</v>
      </c>
      <c r="P51" s="209"/>
      <c r="Q51" s="247">
        <v>6</v>
      </c>
      <c r="R51" s="247"/>
      <c r="S51" s="144">
        <v>7</v>
      </c>
      <c r="T51" s="144"/>
    </row>
    <row r="52" spans="2:20" ht="37.5" customHeight="1">
      <c r="B52" s="29">
        <v>1</v>
      </c>
      <c r="C52" s="30">
        <v>4016060</v>
      </c>
      <c r="D52" s="73" t="s">
        <v>645</v>
      </c>
      <c r="E52" s="166" t="s">
        <v>255</v>
      </c>
      <c r="F52" s="167"/>
      <c r="G52" s="167"/>
      <c r="H52" s="167"/>
      <c r="I52" s="167"/>
      <c r="J52" s="167"/>
      <c r="K52" s="167"/>
      <c r="L52" s="167"/>
      <c r="M52" s="167"/>
      <c r="N52" s="168"/>
      <c r="O52" s="191">
        <f>6301.6+650+2133.005-1452.8+2100+185+(150+175+530.492)+100+200+15-100-15</f>
        <v>10972.297</v>
      </c>
      <c r="P52" s="191"/>
      <c r="Q52" s="433">
        <f>1972+41+386+277.957+160+22.04-162.304-31.486+40+16-7.605+28</f>
        <v>2741.602</v>
      </c>
      <c r="R52" s="434"/>
      <c r="S52" s="255">
        <f>O52+Q52</f>
        <v>13713.899000000001</v>
      </c>
      <c r="T52" s="255"/>
    </row>
    <row r="53" spans="2:20" ht="22.5" customHeight="1">
      <c r="B53" s="29">
        <v>2</v>
      </c>
      <c r="C53" s="30">
        <v>4016060</v>
      </c>
      <c r="D53" s="73" t="s">
        <v>645</v>
      </c>
      <c r="E53" s="166" t="s">
        <v>262</v>
      </c>
      <c r="F53" s="167"/>
      <c r="G53" s="167"/>
      <c r="H53" s="167"/>
      <c r="I53" s="167"/>
      <c r="J53" s="167"/>
      <c r="K53" s="167"/>
      <c r="L53" s="167"/>
      <c r="M53" s="167"/>
      <c r="N53" s="168"/>
      <c r="O53" s="191">
        <f>4136.8+300+32.903</f>
        <v>4469.703</v>
      </c>
      <c r="P53" s="191"/>
      <c r="Q53" s="429"/>
      <c r="R53" s="429"/>
      <c r="S53" s="255">
        <f>O53</f>
        <v>4469.703</v>
      </c>
      <c r="T53" s="255"/>
    </row>
    <row r="54" spans="2:20" ht="21" customHeight="1">
      <c r="B54" s="29">
        <f aca="true" t="shared" si="0" ref="B54:B62">B53+1</f>
        <v>3</v>
      </c>
      <c r="C54" s="30">
        <v>4016060</v>
      </c>
      <c r="D54" s="73" t="s">
        <v>645</v>
      </c>
      <c r="E54" s="166" t="s">
        <v>263</v>
      </c>
      <c r="F54" s="167"/>
      <c r="G54" s="167"/>
      <c r="H54" s="167"/>
      <c r="I54" s="167"/>
      <c r="J54" s="167"/>
      <c r="K54" s="167"/>
      <c r="L54" s="167"/>
      <c r="M54" s="167"/>
      <c r="N54" s="168"/>
      <c r="O54" s="424">
        <f>4201.3+2000+9000-2000+600+797.3+3541.504</f>
        <v>18140.104</v>
      </c>
      <c r="P54" s="424"/>
      <c r="Q54" s="188">
        <f>1700+1100+160+200+150+300</f>
        <v>3610</v>
      </c>
      <c r="R54" s="188"/>
      <c r="S54" s="250">
        <f>O54+Q54</f>
        <v>21750.104</v>
      </c>
      <c r="T54" s="250"/>
    </row>
    <row r="55" spans="2:20" ht="20.25" customHeight="1">
      <c r="B55" s="29">
        <f t="shared" si="0"/>
        <v>4</v>
      </c>
      <c r="C55" s="30">
        <v>4016060</v>
      </c>
      <c r="D55" s="73" t="s">
        <v>645</v>
      </c>
      <c r="E55" s="143" t="s">
        <v>264</v>
      </c>
      <c r="F55" s="143"/>
      <c r="G55" s="143"/>
      <c r="H55" s="143"/>
      <c r="I55" s="143"/>
      <c r="J55" s="143"/>
      <c r="K55" s="143"/>
      <c r="L55" s="143"/>
      <c r="M55" s="143"/>
      <c r="N55" s="143"/>
      <c r="O55" s="424">
        <f>916.9+831.2+229</f>
        <v>1977.1</v>
      </c>
      <c r="P55" s="424"/>
      <c r="Q55" s="429"/>
      <c r="R55" s="429"/>
      <c r="S55" s="250">
        <f aca="true" t="shared" si="1" ref="S55:S62">O55</f>
        <v>1977.1</v>
      </c>
      <c r="T55" s="250"/>
    </row>
    <row r="56" spans="2:20" ht="40.5" customHeight="1">
      <c r="B56" s="29">
        <f t="shared" si="0"/>
        <v>5</v>
      </c>
      <c r="C56" s="30">
        <v>4016060</v>
      </c>
      <c r="D56" s="73" t="s">
        <v>645</v>
      </c>
      <c r="E56" s="360" t="s">
        <v>265</v>
      </c>
      <c r="F56" s="360"/>
      <c r="G56" s="360"/>
      <c r="H56" s="360"/>
      <c r="I56" s="360"/>
      <c r="J56" s="360"/>
      <c r="K56" s="360"/>
      <c r="L56" s="360"/>
      <c r="M56" s="360"/>
      <c r="N56" s="360"/>
      <c r="O56" s="204">
        <f>27924.806+452.5+7219.93+2065.88+1000.45+600</f>
        <v>39263.566</v>
      </c>
      <c r="P56" s="204"/>
      <c r="Q56" s="429"/>
      <c r="R56" s="429"/>
      <c r="S56" s="255">
        <f t="shared" si="1"/>
        <v>39263.566</v>
      </c>
      <c r="T56" s="255"/>
    </row>
    <row r="57" spans="2:20" ht="26.25" customHeight="1">
      <c r="B57" s="29">
        <f t="shared" si="0"/>
        <v>6</v>
      </c>
      <c r="C57" s="30">
        <v>4016060</v>
      </c>
      <c r="D57" s="73" t="s">
        <v>645</v>
      </c>
      <c r="E57" s="337" t="s">
        <v>266</v>
      </c>
      <c r="F57" s="376"/>
      <c r="G57" s="376"/>
      <c r="H57" s="376"/>
      <c r="I57" s="376"/>
      <c r="J57" s="376"/>
      <c r="K57" s="376"/>
      <c r="L57" s="376"/>
      <c r="M57" s="376"/>
      <c r="N57" s="377"/>
      <c r="O57" s="204">
        <f>10.609-8.5</f>
        <v>2.109</v>
      </c>
      <c r="P57" s="204"/>
      <c r="Q57" s="429"/>
      <c r="R57" s="429"/>
      <c r="S57" s="255">
        <f t="shared" si="1"/>
        <v>2.109</v>
      </c>
      <c r="T57" s="255"/>
    </row>
    <row r="58" spans="2:20" ht="21.75" customHeight="1">
      <c r="B58" s="29">
        <f t="shared" si="0"/>
        <v>7</v>
      </c>
      <c r="C58" s="30">
        <v>4016060</v>
      </c>
      <c r="D58" s="73" t="s">
        <v>645</v>
      </c>
      <c r="E58" s="360" t="s">
        <v>267</v>
      </c>
      <c r="F58" s="360"/>
      <c r="G58" s="360"/>
      <c r="H58" s="360"/>
      <c r="I58" s="360"/>
      <c r="J58" s="360"/>
      <c r="K58" s="360"/>
      <c r="L58" s="360"/>
      <c r="M58" s="360"/>
      <c r="N58" s="360"/>
      <c r="O58" s="425">
        <f>31.68+200+1143.336+26.7+6+76.567+100+93.616-50-22.9+16.1+6.013+100-200+59.25656-22.47884+5+7</f>
        <v>1575.88972</v>
      </c>
      <c r="P58" s="425"/>
      <c r="Q58" s="429"/>
      <c r="R58" s="429"/>
      <c r="S58" s="250">
        <f t="shared" si="1"/>
        <v>1575.88972</v>
      </c>
      <c r="T58" s="250"/>
    </row>
    <row r="59" spans="2:20" ht="39" customHeight="1">
      <c r="B59" s="29">
        <f t="shared" si="0"/>
        <v>8</v>
      </c>
      <c r="C59" s="30">
        <v>4016060</v>
      </c>
      <c r="D59" s="73" t="s">
        <v>645</v>
      </c>
      <c r="E59" s="360" t="s">
        <v>268</v>
      </c>
      <c r="F59" s="360"/>
      <c r="G59" s="360"/>
      <c r="H59" s="360"/>
      <c r="I59" s="360"/>
      <c r="J59" s="360"/>
      <c r="K59" s="360"/>
      <c r="L59" s="360"/>
      <c r="M59" s="360"/>
      <c r="N59" s="360"/>
      <c r="O59" s="425">
        <f>60+34.56+200+82.47884</f>
        <v>377.03884</v>
      </c>
      <c r="P59" s="425"/>
      <c r="Q59" s="426">
        <f>400.292+50+18+80+20+850+25+361.8-8.31399-18.8719</f>
        <v>1777.9061099999997</v>
      </c>
      <c r="R59" s="426"/>
      <c r="S59" s="255">
        <f>O59+Q59</f>
        <v>2154.9449499999996</v>
      </c>
      <c r="T59" s="255"/>
    </row>
    <row r="60" spans="2:25" ht="24.75" customHeight="1">
      <c r="B60" s="29">
        <f t="shared" si="0"/>
        <v>9</v>
      </c>
      <c r="C60" s="30">
        <v>4016060</v>
      </c>
      <c r="D60" s="73" t="s">
        <v>645</v>
      </c>
      <c r="E60" s="360" t="s">
        <v>269</v>
      </c>
      <c r="F60" s="360"/>
      <c r="G60" s="360"/>
      <c r="H60" s="360"/>
      <c r="I60" s="360"/>
      <c r="J60" s="360"/>
      <c r="K60" s="360"/>
      <c r="L60" s="360"/>
      <c r="M60" s="360"/>
      <c r="N60" s="360"/>
      <c r="O60" s="426">
        <f>400+100+547.5-10-17.1-32.7-100+200+10+17.1-30-200-15+100-50.75656-17</f>
        <v>902.0434399999997</v>
      </c>
      <c r="P60" s="426"/>
      <c r="Q60" s="204">
        <f>100+40+60+5-40-60-82.947</f>
        <v>22.052999999999997</v>
      </c>
      <c r="R60" s="204"/>
      <c r="S60" s="255">
        <f>O60+Q60</f>
        <v>924.0964399999997</v>
      </c>
      <c r="T60" s="255"/>
      <c r="V60" s="83"/>
      <c r="W60" s="83"/>
      <c r="X60" s="83"/>
      <c r="Y60" s="83"/>
    </row>
    <row r="61" spans="2:25" ht="21.75" customHeight="1">
      <c r="B61" s="29">
        <f t="shared" si="0"/>
        <v>10</v>
      </c>
      <c r="C61" s="30">
        <v>4016060</v>
      </c>
      <c r="D61" s="73" t="s">
        <v>645</v>
      </c>
      <c r="E61" s="360" t="s">
        <v>270</v>
      </c>
      <c r="F61" s="360"/>
      <c r="G61" s="360"/>
      <c r="H61" s="360"/>
      <c r="I61" s="360"/>
      <c r="J61" s="360"/>
      <c r="K61" s="360"/>
      <c r="L61" s="360"/>
      <c r="M61" s="360"/>
      <c r="N61" s="360"/>
      <c r="O61" s="425">
        <f>600</f>
        <v>600</v>
      </c>
      <c r="P61" s="425"/>
      <c r="Q61" s="208"/>
      <c r="R61" s="208"/>
      <c r="S61" s="250">
        <f t="shared" si="1"/>
        <v>600</v>
      </c>
      <c r="T61" s="250"/>
      <c r="V61" s="83"/>
      <c r="W61" s="83"/>
      <c r="X61" s="83"/>
      <c r="Y61" s="83"/>
    </row>
    <row r="62" spans="2:25" ht="21.75" customHeight="1">
      <c r="B62" s="29">
        <f t="shared" si="0"/>
        <v>11</v>
      </c>
      <c r="C62" s="30">
        <v>4016060</v>
      </c>
      <c r="D62" s="73" t="s">
        <v>645</v>
      </c>
      <c r="E62" s="360" t="s">
        <v>271</v>
      </c>
      <c r="F62" s="360"/>
      <c r="G62" s="360"/>
      <c r="H62" s="360"/>
      <c r="I62" s="360"/>
      <c r="J62" s="360"/>
      <c r="K62" s="360"/>
      <c r="L62" s="360"/>
      <c r="M62" s="360"/>
      <c r="N62" s="360"/>
      <c r="O62" s="425">
        <f>3680+30+56.8+1000</f>
        <v>4766.8</v>
      </c>
      <c r="P62" s="425"/>
      <c r="Q62" s="208"/>
      <c r="R62" s="208"/>
      <c r="S62" s="250">
        <f t="shared" si="1"/>
        <v>4766.8</v>
      </c>
      <c r="T62" s="250"/>
      <c r="V62" s="83"/>
      <c r="W62" s="83"/>
      <c r="X62" s="83"/>
      <c r="Y62" s="83"/>
    </row>
    <row r="63" spans="2:25" ht="21.75" customHeight="1">
      <c r="B63" s="29">
        <v>12</v>
      </c>
      <c r="C63" s="30">
        <v>4016060</v>
      </c>
      <c r="D63" s="73" t="s">
        <v>645</v>
      </c>
      <c r="E63" s="360" t="s">
        <v>272</v>
      </c>
      <c r="F63" s="360"/>
      <c r="G63" s="360"/>
      <c r="H63" s="360"/>
      <c r="I63" s="360"/>
      <c r="J63" s="360"/>
      <c r="K63" s="360"/>
      <c r="L63" s="360"/>
      <c r="M63" s="360"/>
      <c r="N63" s="360"/>
      <c r="O63" s="435">
        <f>900-93.616-563.491-40</f>
        <v>202.89300000000003</v>
      </c>
      <c r="P63" s="436"/>
      <c r="Q63" s="208"/>
      <c r="R63" s="208"/>
      <c r="S63" s="255">
        <f>O63</f>
        <v>202.89300000000003</v>
      </c>
      <c r="T63" s="255"/>
      <c r="V63" s="83"/>
      <c r="W63" s="83"/>
      <c r="X63" s="83"/>
      <c r="Y63" s="83"/>
    </row>
    <row r="64" spans="2:25" ht="21.75" customHeight="1">
      <c r="B64" s="29">
        <v>13</v>
      </c>
      <c r="C64" s="30">
        <v>4016060</v>
      </c>
      <c r="D64" s="73" t="s">
        <v>645</v>
      </c>
      <c r="E64" s="143" t="s">
        <v>273</v>
      </c>
      <c r="F64" s="143"/>
      <c r="G64" s="143"/>
      <c r="H64" s="143"/>
      <c r="I64" s="143"/>
      <c r="J64" s="143"/>
      <c r="K64" s="143"/>
      <c r="L64" s="143"/>
      <c r="M64" s="143"/>
      <c r="N64" s="143"/>
      <c r="O64" s="175">
        <v>0</v>
      </c>
      <c r="P64" s="175"/>
      <c r="Q64" s="204">
        <f>700+1500+(808.317+145.112)+146.341+40-2040+1500+22.809-45.02+28+10+7.02-38.44105-56.348-10-42.481+7.605+500+99.5</f>
        <v>3282.41395</v>
      </c>
      <c r="R64" s="204"/>
      <c r="S64" s="255">
        <f>Q64+O64</f>
        <v>3282.41395</v>
      </c>
      <c r="T64" s="255"/>
      <c r="V64" s="83"/>
      <c r="W64" s="83"/>
      <c r="X64" s="83"/>
      <c r="Y64" s="83"/>
    </row>
    <row r="65" spans="2:25" ht="21.75" customHeight="1">
      <c r="B65" s="29">
        <v>14</v>
      </c>
      <c r="C65" s="30">
        <v>4016060</v>
      </c>
      <c r="D65" s="73" t="s">
        <v>645</v>
      </c>
      <c r="E65" s="143" t="s">
        <v>274</v>
      </c>
      <c r="F65" s="143"/>
      <c r="G65" s="143"/>
      <c r="H65" s="143"/>
      <c r="I65" s="143"/>
      <c r="J65" s="143"/>
      <c r="K65" s="143"/>
      <c r="L65" s="143"/>
      <c r="M65" s="143"/>
      <c r="N65" s="143"/>
      <c r="O65" s="191">
        <v>0</v>
      </c>
      <c r="P65" s="191"/>
      <c r="Q65" s="425">
        <f>(170-84.475)+200+180+(250-145.112)+180+130+300+1911.886+3977.125+2025+214.563+140+(552.668-30)+(392.591+84.475)-85.525-200+838.114+84.475+80+819.377+11.5+75.99-10.36306-130+1109.434-180-44.553</f>
        <v>12817.16994</v>
      </c>
      <c r="R65" s="425"/>
      <c r="S65" s="250">
        <f>O65+Q65</f>
        <v>12817.16994</v>
      </c>
      <c r="T65" s="250"/>
      <c r="V65" s="83"/>
      <c r="W65" s="83"/>
      <c r="X65" s="83"/>
      <c r="Y65" s="83"/>
    </row>
    <row r="66" spans="2:25" ht="23.25" customHeight="1">
      <c r="B66" s="29"/>
      <c r="C66" s="30"/>
      <c r="D66" s="73"/>
      <c r="E66" s="259" t="s">
        <v>678</v>
      </c>
      <c r="F66" s="259"/>
      <c r="G66" s="259"/>
      <c r="H66" s="259"/>
      <c r="I66" s="259"/>
      <c r="J66" s="259"/>
      <c r="K66" s="259"/>
      <c r="L66" s="259"/>
      <c r="M66" s="259"/>
      <c r="N66" s="259"/>
      <c r="O66" s="258">
        <f>SUM(O52:P65)</f>
        <v>83249.54399999998</v>
      </c>
      <c r="P66" s="258"/>
      <c r="Q66" s="258">
        <f>SUM(Q52:R65)</f>
        <v>24251.145</v>
      </c>
      <c r="R66" s="258"/>
      <c r="S66" s="258">
        <f>SUM(S52:T65)</f>
        <v>107500.68900000001</v>
      </c>
      <c r="T66" s="258"/>
      <c r="V66" s="83"/>
      <c r="W66" s="83"/>
      <c r="X66" s="83"/>
      <c r="Y66" s="83"/>
    </row>
    <row r="67" spans="22:25" ht="11.25">
      <c r="V67" s="83"/>
      <c r="W67" s="83"/>
      <c r="X67" s="83"/>
      <c r="Y67" s="83"/>
    </row>
    <row r="68" spans="1:25" ht="15.75">
      <c r="A68" s="10" t="s">
        <v>713</v>
      </c>
      <c r="B68" s="21" t="s">
        <v>231</v>
      </c>
      <c r="V68" s="83"/>
      <c r="W68" s="83"/>
      <c r="X68" s="83"/>
      <c r="Y68" s="83"/>
    </row>
    <row r="69" spans="15:25" ht="15">
      <c r="O69" s="37" t="s">
        <v>672</v>
      </c>
      <c r="V69" s="83"/>
      <c r="W69" s="83"/>
      <c r="X69" s="83"/>
      <c r="Y69" s="83"/>
    </row>
    <row r="70" spans="2:25" ht="34.5" customHeight="1">
      <c r="B70" s="57" t="s">
        <v>730</v>
      </c>
      <c r="C70" s="58"/>
      <c r="D70" s="58"/>
      <c r="E70" s="58"/>
      <c r="F70" s="58"/>
      <c r="G70" s="58"/>
      <c r="H70" s="59"/>
      <c r="I70" s="174" t="s">
        <v>721</v>
      </c>
      <c r="J70" s="174"/>
      <c r="K70" s="209" t="s">
        <v>731</v>
      </c>
      <c r="L70" s="209"/>
      <c r="M70" s="144" t="s">
        <v>732</v>
      </c>
      <c r="N70" s="144"/>
      <c r="O70" s="144" t="s">
        <v>686</v>
      </c>
      <c r="P70" s="144"/>
      <c r="V70" s="83"/>
      <c r="W70" s="83"/>
      <c r="X70" s="83"/>
      <c r="Y70" s="83"/>
    </row>
    <row r="71" spans="2:25" ht="17.25" customHeight="1">
      <c r="B71" s="267">
        <v>1</v>
      </c>
      <c r="C71" s="268"/>
      <c r="D71" s="268"/>
      <c r="E71" s="268"/>
      <c r="F71" s="268"/>
      <c r="G71" s="268"/>
      <c r="H71" s="269"/>
      <c r="I71" s="174">
        <v>2</v>
      </c>
      <c r="J71" s="174"/>
      <c r="K71" s="209">
        <v>3</v>
      </c>
      <c r="L71" s="209"/>
      <c r="M71" s="144">
        <v>4</v>
      </c>
      <c r="N71" s="144"/>
      <c r="O71" s="144">
        <v>5</v>
      </c>
      <c r="P71" s="144"/>
      <c r="V71" s="83"/>
      <c r="W71" s="83"/>
      <c r="X71" s="83"/>
      <c r="Y71" s="83"/>
    </row>
    <row r="72" spans="2:25" ht="52.5" customHeight="1">
      <c r="B72" s="184" t="s">
        <v>109</v>
      </c>
      <c r="C72" s="185"/>
      <c r="D72" s="185"/>
      <c r="E72" s="185"/>
      <c r="F72" s="185"/>
      <c r="G72" s="185"/>
      <c r="H72" s="186"/>
      <c r="I72" s="174">
        <v>4016060</v>
      </c>
      <c r="J72" s="174"/>
      <c r="K72" s="204">
        <f>O66</f>
        <v>83249.54399999998</v>
      </c>
      <c r="L72" s="204"/>
      <c r="M72" s="204">
        <f>Q66</f>
        <v>24251.145</v>
      </c>
      <c r="N72" s="204"/>
      <c r="O72" s="204">
        <f>K72+M72</f>
        <v>107500.68899999998</v>
      </c>
      <c r="P72" s="204"/>
      <c r="V72" s="83"/>
      <c r="W72" s="83"/>
      <c r="X72" s="83"/>
      <c r="Y72" s="83"/>
    </row>
    <row r="73" spans="2:25" ht="18.75" customHeight="1">
      <c r="B73" s="193" t="s">
        <v>728</v>
      </c>
      <c r="C73" s="194"/>
      <c r="D73" s="194"/>
      <c r="E73" s="194"/>
      <c r="F73" s="194"/>
      <c r="G73" s="194"/>
      <c r="H73" s="195"/>
      <c r="I73" s="174"/>
      <c r="J73" s="174"/>
      <c r="K73" s="204"/>
      <c r="L73" s="204"/>
      <c r="M73" s="204"/>
      <c r="N73" s="204"/>
      <c r="O73" s="204"/>
      <c r="P73" s="204"/>
      <c r="V73" s="83"/>
      <c r="W73" s="83"/>
      <c r="X73" s="83"/>
      <c r="Y73" s="83"/>
    </row>
    <row r="74" spans="2:25" ht="18" customHeight="1">
      <c r="B74" s="193" t="s">
        <v>729</v>
      </c>
      <c r="C74" s="194"/>
      <c r="D74" s="194"/>
      <c r="E74" s="194"/>
      <c r="F74" s="194"/>
      <c r="G74" s="194"/>
      <c r="H74" s="195"/>
      <c r="I74" s="174"/>
      <c r="J74" s="174"/>
      <c r="K74" s="204"/>
      <c r="L74" s="204"/>
      <c r="M74" s="204"/>
      <c r="N74" s="204"/>
      <c r="O74" s="204"/>
      <c r="P74" s="204"/>
      <c r="V74" s="83"/>
      <c r="W74" s="83"/>
      <c r="X74" s="83"/>
      <c r="Y74" s="83"/>
    </row>
    <row r="75" spans="2:25" ht="15.75">
      <c r="B75" s="193" t="s">
        <v>676</v>
      </c>
      <c r="C75" s="194"/>
      <c r="D75" s="194"/>
      <c r="E75" s="194"/>
      <c r="F75" s="194"/>
      <c r="G75" s="194"/>
      <c r="H75" s="195"/>
      <c r="I75" s="174"/>
      <c r="J75" s="174"/>
      <c r="K75" s="204"/>
      <c r="L75" s="204"/>
      <c r="M75" s="204"/>
      <c r="N75" s="204"/>
      <c r="O75" s="204"/>
      <c r="P75" s="204"/>
      <c r="V75" s="83"/>
      <c r="W75" s="83"/>
      <c r="X75" s="83"/>
      <c r="Y75" s="83"/>
    </row>
    <row r="76" spans="2:25" ht="20.25" customHeight="1">
      <c r="B76" s="193" t="s">
        <v>678</v>
      </c>
      <c r="C76" s="194"/>
      <c r="D76" s="194"/>
      <c r="E76" s="194"/>
      <c r="F76" s="194"/>
      <c r="G76" s="194"/>
      <c r="H76" s="195"/>
      <c r="I76" s="174"/>
      <c r="J76" s="174"/>
      <c r="K76" s="204">
        <f>K72</f>
        <v>83249.54399999998</v>
      </c>
      <c r="L76" s="204"/>
      <c r="M76" s="204">
        <f>M72</f>
        <v>24251.145</v>
      </c>
      <c r="N76" s="204"/>
      <c r="O76" s="204">
        <f>K76+M76</f>
        <v>107500.68899999998</v>
      </c>
      <c r="P76" s="204"/>
      <c r="V76" s="83"/>
      <c r="W76" s="83"/>
      <c r="X76" s="83"/>
      <c r="Y76" s="83"/>
    </row>
    <row r="77" spans="1:25" ht="11.25">
      <c r="A77" s="31"/>
      <c r="B77" s="31"/>
      <c r="C77" s="31"/>
      <c r="D77" s="31"/>
      <c r="E77" s="31"/>
      <c r="F77" s="31"/>
      <c r="G77" s="31"/>
      <c r="H77" s="31"/>
      <c r="I77" s="31"/>
      <c r="V77" s="83"/>
      <c r="W77" s="83"/>
      <c r="X77" s="83"/>
      <c r="Y77" s="83"/>
    </row>
    <row r="78" spans="1:25" ht="18.75" customHeight="1">
      <c r="A78" s="10" t="s">
        <v>714</v>
      </c>
      <c r="B78" s="21" t="s">
        <v>724</v>
      </c>
      <c r="C78" s="2"/>
      <c r="V78" s="83"/>
      <c r="W78" s="83"/>
      <c r="X78" s="83"/>
      <c r="Y78" s="83"/>
    </row>
    <row r="79" spans="22:25" ht="11.25">
      <c r="V79" s="83"/>
      <c r="W79" s="83"/>
      <c r="X79" s="83"/>
      <c r="Y79" s="83"/>
    </row>
    <row r="80" spans="1:25" ht="31.5" customHeight="1">
      <c r="A80" s="36"/>
      <c r="B80" s="30" t="s">
        <v>683</v>
      </c>
      <c r="C80" s="30" t="s">
        <v>721</v>
      </c>
      <c r="D80" s="144" t="s">
        <v>225</v>
      </c>
      <c r="E80" s="144"/>
      <c r="F80" s="144"/>
      <c r="G80" s="144"/>
      <c r="H80" s="144"/>
      <c r="I80" s="144"/>
      <c r="J80" s="144"/>
      <c r="K80" s="144"/>
      <c r="L80" s="140" t="s">
        <v>715</v>
      </c>
      <c r="M80" s="141"/>
      <c r="N80" s="144" t="s">
        <v>687</v>
      </c>
      <c r="O80" s="144"/>
      <c r="P80" s="144"/>
      <c r="Q80" s="144"/>
      <c r="R80" s="144" t="s">
        <v>733</v>
      </c>
      <c r="S80" s="187"/>
      <c r="T80" s="62"/>
      <c r="V80" s="83"/>
      <c r="W80" s="83"/>
      <c r="X80" s="83"/>
      <c r="Y80" s="83"/>
    </row>
    <row r="81" spans="1:25" ht="18" customHeight="1">
      <c r="A81" s="36"/>
      <c r="B81" s="30">
        <v>1</v>
      </c>
      <c r="C81" s="30">
        <v>2</v>
      </c>
      <c r="D81" s="205">
        <v>3</v>
      </c>
      <c r="E81" s="206"/>
      <c r="F81" s="206"/>
      <c r="G81" s="206"/>
      <c r="H81" s="206"/>
      <c r="I81" s="206"/>
      <c r="J81" s="206"/>
      <c r="K81" s="207"/>
      <c r="L81" s="140">
        <v>4</v>
      </c>
      <c r="M81" s="141"/>
      <c r="N81" s="144">
        <v>5</v>
      </c>
      <c r="O81" s="144"/>
      <c r="P81" s="144"/>
      <c r="Q81" s="144"/>
      <c r="R81" s="144">
        <v>6</v>
      </c>
      <c r="S81" s="187"/>
      <c r="T81" s="62"/>
      <c r="V81" s="83"/>
      <c r="W81" s="83"/>
      <c r="X81" s="83"/>
      <c r="Y81" s="83"/>
    </row>
    <row r="82" spans="1:25" ht="21" customHeight="1">
      <c r="A82" s="36"/>
      <c r="B82" s="32">
        <v>1</v>
      </c>
      <c r="C82" s="32">
        <v>4016060</v>
      </c>
      <c r="D82" s="178" t="s">
        <v>717</v>
      </c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  <c r="S82" s="180"/>
      <c r="T82" s="62"/>
      <c r="V82" s="83"/>
      <c r="W82" s="83"/>
      <c r="X82" s="83"/>
      <c r="Y82" s="83"/>
    </row>
    <row r="83" spans="1:25" ht="31.5" customHeight="1">
      <c r="A83" s="36"/>
      <c r="B83" s="32"/>
      <c r="C83" s="32"/>
      <c r="D83" s="178" t="s">
        <v>99</v>
      </c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80"/>
      <c r="T83" s="62"/>
      <c r="V83" s="85"/>
      <c r="W83" s="85"/>
      <c r="X83" s="85"/>
      <c r="Y83" s="85"/>
    </row>
    <row r="84" spans="1:25" ht="15.75" customHeight="1">
      <c r="A84" s="39"/>
      <c r="B84" s="33"/>
      <c r="C84" s="41"/>
      <c r="D84" s="181" t="s">
        <v>688</v>
      </c>
      <c r="E84" s="182"/>
      <c r="F84" s="182"/>
      <c r="G84" s="182"/>
      <c r="H84" s="182"/>
      <c r="I84" s="182"/>
      <c r="J84" s="182"/>
      <c r="K84" s="183"/>
      <c r="L84" s="140"/>
      <c r="M84" s="141"/>
      <c r="N84" s="144"/>
      <c r="O84" s="144"/>
      <c r="P84" s="144"/>
      <c r="Q84" s="144"/>
      <c r="R84" s="144"/>
      <c r="S84" s="187"/>
      <c r="T84" s="62"/>
      <c r="V84" s="85"/>
      <c r="W84" s="85"/>
      <c r="X84" s="85"/>
      <c r="Y84" s="85"/>
    </row>
    <row r="85" spans="1:26" ht="18" customHeight="1">
      <c r="A85" s="39"/>
      <c r="B85" s="30"/>
      <c r="C85" s="30"/>
      <c r="D85" s="184" t="s">
        <v>589</v>
      </c>
      <c r="E85" s="185"/>
      <c r="F85" s="185"/>
      <c r="G85" s="185"/>
      <c r="H85" s="185"/>
      <c r="I85" s="185"/>
      <c r="J85" s="185"/>
      <c r="K85" s="186"/>
      <c r="L85" s="140" t="s">
        <v>690</v>
      </c>
      <c r="M85" s="141"/>
      <c r="N85" s="144" t="s">
        <v>568</v>
      </c>
      <c r="O85" s="144"/>
      <c r="P85" s="144"/>
      <c r="Q85" s="144"/>
      <c r="R85" s="196">
        <f>SUM(R86:S99)</f>
        <v>13713.899000000001</v>
      </c>
      <c r="S85" s="197"/>
      <c r="T85" s="62"/>
      <c r="V85" s="85"/>
      <c r="W85" s="85"/>
      <c r="X85" s="85"/>
      <c r="Y85" s="85"/>
      <c r="Z85" s="103">
        <f>R85+R205+R230+R283+R317+R414+R427+R483+R527+R558+R572+R586+R600+R642</f>
        <v>107500.68885</v>
      </c>
    </row>
    <row r="86" spans="1:26" ht="36" customHeight="1">
      <c r="A86" s="39"/>
      <c r="B86" s="30"/>
      <c r="C86" s="30"/>
      <c r="D86" s="161" t="s">
        <v>521</v>
      </c>
      <c r="E86" s="162"/>
      <c r="F86" s="162"/>
      <c r="G86" s="162"/>
      <c r="H86" s="162"/>
      <c r="I86" s="162"/>
      <c r="J86" s="162"/>
      <c r="K86" s="163"/>
      <c r="L86" s="140" t="s">
        <v>690</v>
      </c>
      <c r="M86" s="141"/>
      <c r="N86" s="144" t="s">
        <v>568</v>
      </c>
      <c r="O86" s="144"/>
      <c r="P86" s="144"/>
      <c r="Q86" s="144"/>
      <c r="R86" s="221">
        <f>6301.6+650+2133.005-1452.8</f>
        <v>7631.804999999999</v>
      </c>
      <c r="S86" s="222"/>
      <c r="T86" s="62"/>
      <c r="V86" s="85"/>
      <c r="W86" s="85"/>
      <c r="X86" s="85"/>
      <c r="Y86" s="85"/>
      <c r="Z86" s="103">
        <f>S66-Z85</f>
        <v>0.0001500000071246177</v>
      </c>
    </row>
    <row r="87" spans="1:25" ht="18" customHeight="1">
      <c r="A87" s="39"/>
      <c r="B87" s="30"/>
      <c r="C87" s="30"/>
      <c r="D87" s="161" t="s">
        <v>520</v>
      </c>
      <c r="E87" s="162"/>
      <c r="F87" s="162"/>
      <c r="G87" s="162"/>
      <c r="H87" s="162"/>
      <c r="I87" s="162"/>
      <c r="J87" s="162"/>
      <c r="K87" s="163"/>
      <c r="L87" s="140" t="s">
        <v>690</v>
      </c>
      <c r="M87" s="141"/>
      <c r="N87" s="144" t="s">
        <v>568</v>
      </c>
      <c r="O87" s="144"/>
      <c r="P87" s="144"/>
      <c r="Q87" s="144"/>
      <c r="R87" s="295">
        <f>2100+185</f>
        <v>2285</v>
      </c>
      <c r="S87" s="296"/>
      <c r="T87" s="62"/>
      <c r="V87" s="85"/>
      <c r="W87" s="85"/>
      <c r="X87" s="85"/>
      <c r="Y87" s="85"/>
    </row>
    <row r="88" spans="1:25" ht="18" customHeight="1">
      <c r="A88" s="39"/>
      <c r="B88" s="30"/>
      <c r="C88" s="30"/>
      <c r="D88" s="184" t="s">
        <v>525</v>
      </c>
      <c r="E88" s="185"/>
      <c r="F88" s="185"/>
      <c r="G88" s="185"/>
      <c r="H88" s="185"/>
      <c r="I88" s="185"/>
      <c r="J88" s="185"/>
      <c r="K88" s="186"/>
      <c r="L88" s="140" t="s">
        <v>690</v>
      </c>
      <c r="M88" s="141"/>
      <c r="N88" s="144" t="s">
        <v>691</v>
      </c>
      <c r="O88" s="144"/>
      <c r="P88" s="144"/>
      <c r="Q88" s="144"/>
      <c r="R88" s="295">
        <v>150</v>
      </c>
      <c r="S88" s="296"/>
      <c r="T88" s="62"/>
      <c r="U88" s="112">
        <f>R127*R163/1000</f>
        <v>150</v>
      </c>
      <c r="V88" s="85"/>
      <c r="W88" s="85"/>
      <c r="X88" s="85"/>
      <c r="Y88" s="85"/>
    </row>
    <row r="89" spans="1:25" ht="18" customHeight="1">
      <c r="A89" s="39"/>
      <c r="B89" s="30"/>
      <c r="C89" s="30"/>
      <c r="D89" s="184" t="s">
        <v>518</v>
      </c>
      <c r="E89" s="185"/>
      <c r="F89" s="185"/>
      <c r="G89" s="185"/>
      <c r="H89" s="185"/>
      <c r="I89" s="185"/>
      <c r="J89" s="185"/>
      <c r="K89" s="186"/>
      <c r="L89" s="140" t="s">
        <v>690</v>
      </c>
      <c r="M89" s="141"/>
      <c r="N89" s="144" t="s">
        <v>691</v>
      </c>
      <c r="O89" s="144"/>
      <c r="P89" s="144"/>
      <c r="Q89" s="144"/>
      <c r="R89" s="221">
        <v>530.492</v>
      </c>
      <c r="S89" s="222"/>
      <c r="T89" s="62"/>
      <c r="U89" s="112">
        <f>R129*R164/1000</f>
        <v>530.492</v>
      </c>
      <c r="V89" s="85"/>
      <c r="W89" s="85"/>
      <c r="X89" s="85"/>
      <c r="Y89" s="85"/>
    </row>
    <row r="90" spans="1:25" ht="22.5" customHeight="1">
      <c r="A90" s="39"/>
      <c r="B90" s="30"/>
      <c r="C90" s="30"/>
      <c r="D90" s="161" t="s">
        <v>519</v>
      </c>
      <c r="E90" s="162"/>
      <c r="F90" s="162"/>
      <c r="G90" s="162"/>
      <c r="H90" s="162"/>
      <c r="I90" s="162"/>
      <c r="J90" s="162"/>
      <c r="K90" s="163"/>
      <c r="L90" s="140" t="s">
        <v>690</v>
      </c>
      <c r="M90" s="141"/>
      <c r="N90" s="144" t="s">
        <v>691</v>
      </c>
      <c r="O90" s="144"/>
      <c r="P90" s="144"/>
      <c r="Q90" s="144"/>
      <c r="R90" s="295">
        <v>175</v>
      </c>
      <c r="S90" s="296"/>
      <c r="T90" s="62"/>
      <c r="U90" s="112">
        <f>R131*R165/1000</f>
        <v>175</v>
      </c>
      <c r="V90" s="85"/>
      <c r="W90" s="85"/>
      <c r="X90" s="85"/>
      <c r="Y90" s="85"/>
    </row>
    <row r="91" spans="1:25" ht="20.25" customHeight="1">
      <c r="A91" s="39"/>
      <c r="B91" s="30"/>
      <c r="C91" s="30"/>
      <c r="D91" s="161" t="s">
        <v>324</v>
      </c>
      <c r="E91" s="162"/>
      <c r="F91" s="162"/>
      <c r="G91" s="162"/>
      <c r="H91" s="162"/>
      <c r="I91" s="162"/>
      <c r="J91" s="162"/>
      <c r="K91" s="163"/>
      <c r="L91" s="140" t="s">
        <v>690</v>
      </c>
      <c r="M91" s="141"/>
      <c r="N91" s="144" t="s">
        <v>691</v>
      </c>
      <c r="O91" s="144"/>
      <c r="P91" s="144"/>
      <c r="Q91" s="144"/>
      <c r="R91" s="295">
        <v>1972</v>
      </c>
      <c r="S91" s="296"/>
      <c r="T91" s="63"/>
      <c r="U91" s="112">
        <f>R133*R166/1000</f>
        <v>1971.9999999999998</v>
      </c>
      <c r="V91" s="85"/>
      <c r="W91" s="85"/>
      <c r="X91" s="85"/>
      <c r="Y91" s="85"/>
    </row>
    <row r="92" spans="1:25" ht="20.25" customHeight="1">
      <c r="A92" s="39"/>
      <c r="B92" s="30"/>
      <c r="C92" s="30"/>
      <c r="D92" s="161" t="s">
        <v>326</v>
      </c>
      <c r="E92" s="162"/>
      <c r="F92" s="162"/>
      <c r="G92" s="162"/>
      <c r="H92" s="162"/>
      <c r="I92" s="162"/>
      <c r="J92" s="162"/>
      <c r="K92" s="163"/>
      <c r="L92" s="140" t="s">
        <v>690</v>
      </c>
      <c r="M92" s="141"/>
      <c r="N92" s="144" t="s">
        <v>691</v>
      </c>
      <c r="O92" s="144"/>
      <c r="P92" s="144"/>
      <c r="Q92" s="144"/>
      <c r="R92" s="295">
        <v>41</v>
      </c>
      <c r="S92" s="296"/>
      <c r="T92" s="63"/>
      <c r="U92" s="112">
        <f>R135*R167/1000</f>
        <v>41</v>
      </c>
      <c r="V92" s="85"/>
      <c r="W92" s="85"/>
      <c r="X92" s="85"/>
      <c r="Y92" s="85"/>
    </row>
    <row r="93" spans="1:25" ht="20.25" customHeight="1">
      <c r="A93" s="39"/>
      <c r="B93" s="30"/>
      <c r="C93" s="30"/>
      <c r="D93" s="161" t="s">
        <v>327</v>
      </c>
      <c r="E93" s="162"/>
      <c r="F93" s="162"/>
      <c r="G93" s="162"/>
      <c r="H93" s="162"/>
      <c r="I93" s="162"/>
      <c r="J93" s="162"/>
      <c r="K93" s="163"/>
      <c r="L93" s="140" t="s">
        <v>690</v>
      </c>
      <c r="M93" s="141"/>
      <c r="N93" s="144" t="s">
        <v>691</v>
      </c>
      <c r="O93" s="144"/>
      <c r="P93" s="144"/>
      <c r="Q93" s="144"/>
      <c r="R93" s="221">
        <f>386-162.304</f>
        <v>223.696</v>
      </c>
      <c r="S93" s="222"/>
      <c r="T93" s="63"/>
      <c r="U93" s="112">
        <f>R137*R168/1000</f>
        <v>223.69599999999997</v>
      </c>
      <c r="V93" s="85"/>
      <c r="W93" s="85"/>
      <c r="X93" s="85"/>
      <c r="Y93" s="85"/>
    </row>
    <row r="94" spans="1:25" ht="20.25" customHeight="1">
      <c r="A94" s="39"/>
      <c r="B94" s="30"/>
      <c r="C94" s="30"/>
      <c r="D94" s="161" t="s">
        <v>328</v>
      </c>
      <c r="E94" s="162"/>
      <c r="F94" s="162"/>
      <c r="G94" s="162"/>
      <c r="H94" s="162"/>
      <c r="I94" s="162"/>
      <c r="J94" s="162"/>
      <c r="K94" s="163"/>
      <c r="L94" s="140" t="s">
        <v>690</v>
      </c>
      <c r="M94" s="141"/>
      <c r="N94" s="144" t="s">
        <v>691</v>
      </c>
      <c r="O94" s="144"/>
      <c r="P94" s="144"/>
      <c r="Q94" s="144"/>
      <c r="R94" s="221">
        <f>277.957+22.04-31.486</f>
        <v>268.511</v>
      </c>
      <c r="S94" s="222"/>
      <c r="T94" s="63"/>
      <c r="U94" s="112">
        <f>R139*R169</f>
        <v>268.511</v>
      </c>
      <c r="V94" s="85"/>
      <c r="W94" s="85"/>
      <c r="X94" s="85"/>
      <c r="Y94" s="85"/>
    </row>
    <row r="95" spans="1:25" ht="22.5" customHeight="1">
      <c r="A95" s="39"/>
      <c r="B95" s="30"/>
      <c r="C95" s="30"/>
      <c r="D95" s="161" t="s">
        <v>142</v>
      </c>
      <c r="E95" s="162"/>
      <c r="F95" s="162"/>
      <c r="G95" s="162"/>
      <c r="H95" s="162"/>
      <c r="I95" s="162"/>
      <c r="J95" s="162"/>
      <c r="K95" s="163"/>
      <c r="L95" s="140" t="s">
        <v>690</v>
      </c>
      <c r="M95" s="141"/>
      <c r="N95" s="144" t="s">
        <v>691</v>
      </c>
      <c r="O95" s="144"/>
      <c r="P95" s="144"/>
      <c r="Q95" s="144"/>
      <c r="R95" s="295">
        <f>160-7.605</f>
        <v>152.395</v>
      </c>
      <c r="S95" s="296"/>
      <c r="T95" s="115"/>
      <c r="U95" s="114">
        <f>R170*R141</f>
        <v>152.395</v>
      </c>
      <c r="V95" s="85"/>
      <c r="W95" s="85"/>
      <c r="X95" s="85"/>
      <c r="Y95" s="85"/>
    </row>
    <row r="96" spans="1:25" ht="19.5" customHeight="1" hidden="1">
      <c r="A96" s="39"/>
      <c r="B96" s="30"/>
      <c r="C96" s="30"/>
      <c r="D96" s="161" t="s">
        <v>56</v>
      </c>
      <c r="E96" s="162"/>
      <c r="F96" s="162"/>
      <c r="G96" s="162"/>
      <c r="H96" s="162"/>
      <c r="I96" s="162"/>
      <c r="J96" s="162"/>
      <c r="K96" s="163"/>
      <c r="L96" s="140" t="s">
        <v>690</v>
      </c>
      <c r="M96" s="141"/>
      <c r="N96" s="140" t="s">
        <v>691</v>
      </c>
      <c r="O96" s="142"/>
      <c r="P96" s="142"/>
      <c r="Q96" s="141"/>
      <c r="R96" s="290">
        <f>100-100</f>
        <v>0</v>
      </c>
      <c r="S96" s="291"/>
      <c r="T96" s="116">
        <v>-100</v>
      </c>
      <c r="U96" s="114">
        <f>R143*R171</f>
        <v>0</v>
      </c>
      <c r="V96" s="85"/>
      <c r="W96" s="85"/>
      <c r="X96" s="85"/>
      <c r="Y96" s="85"/>
    </row>
    <row r="97" spans="1:25" ht="32.25" customHeight="1">
      <c r="A97" s="39"/>
      <c r="B97" s="30"/>
      <c r="C97" s="30"/>
      <c r="D97" s="161" t="s">
        <v>179</v>
      </c>
      <c r="E97" s="162"/>
      <c r="F97" s="162"/>
      <c r="G97" s="162"/>
      <c r="H97" s="162"/>
      <c r="I97" s="162"/>
      <c r="J97" s="162"/>
      <c r="K97" s="163"/>
      <c r="L97" s="140" t="s">
        <v>690</v>
      </c>
      <c r="M97" s="141"/>
      <c r="N97" s="140" t="s">
        <v>691</v>
      </c>
      <c r="O97" s="142"/>
      <c r="P97" s="142"/>
      <c r="Q97" s="141"/>
      <c r="R97" s="295">
        <v>200</v>
      </c>
      <c r="S97" s="296"/>
      <c r="T97" s="63"/>
      <c r="U97" s="112">
        <f>R145*R172</f>
        <v>200</v>
      </c>
      <c r="V97" s="85"/>
      <c r="W97" s="85"/>
      <c r="X97" s="85"/>
      <c r="Y97" s="85"/>
    </row>
    <row r="98" spans="1:25" ht="36.75" customHeight="1">
      <c r="A98" s="39"/>
      <c r="B98" s="30"/>
      <c r="C98" s="30"/>
      <c r="D98" s="161" t="s">
        <v>285</v>
      </c>
      <c r="E98" s="162"/>
      <c r="F98" s="162"/>
      <c r="G98" s="162"/>
      <c r="H98" s="162"/>
      <c r="I98" s="162"/>
      <c r="J98" s="162"/>
      <c r="K98" s="163"/>
      <c r="L98" s="140" t="s">
        <v>690</v>
      </c>
      <c r="M98" s="141"/>
      <c r="N98" s="274" t="s">
        <v>546</v>
      </c>
      <c r="O98" s="275"/>
      <c r="P98" s="275"/>
      <c r="Q98" s="276"/>
      <c r="R98" s="295">
        <f>40+28</f>
        <v>68</v>
      </c>
      <c r="S98" s="296"/>
      <c r="T98" s="63"/>
      <c r="U98" s="112">
        <v>40</v>
      </c>
      <c r="V98" s="85"/>
      <c r="W98" s="85"/>
      <c r="X98" s="85"/>
      <c r="Y98" s="85"/>
    </row>
    <row r="99" spans="1:25" ht="69" customHeight="1">
      <c r="A99" s="39"/>
      <c r="B99" s="30"/>
      <c r="C99" s="30"/>
      <c r="D99" s="161" t="s">
        <v>29</v>
      </c>
      <c r="E99" s="162"/>
      <c r="F99" s="162"/>
      <c r="G99" s="162"/>
      <c r="H99" s="162"/>
      <c r="I99" s="162"/>
      <c r="J99" s="162"/>
      <c r="K99" s="163"/>
      <c r="L99" s="140" t="s">
        <v>690</v>
      </c>
      <c r="M99" s="141"/>
      <c r="N99" s="274" t="s">
        <v>546</v>
      </c>
      <c r="O99" s="275"/>
      <c r="P99" s="275"/>
      <c r="Q99" s="276"/>
      <c r="R99" s="295">
        <v>16</v>
      </c>
      <c r="S99" s="296"/>
      <c r="T99" s="63"/>
      <c r="U99" s="112">
        <v>16</v>
      </c>
      <c r="V99" s="85"/>
      <c r="W99" s="85"/>
      <c r="X99" s="85"/>
      <c r="Y99" s="85"/>
    </row>
    <row r="100" spans="1:25" ht="18" customHeight="1">
      <c r="A100" s="39"/>
      <c r="B100" s="30"/>
      <c r="C100" s="30"/>
      <c r="D100" s="181" t="s">
        <v>693</v>
      </c>
      <c r="E100" s="182"/>
      <c r="F100" s="182"/>
      <c r="G100" s="182"/>
      <c r="H100" s="182"/>
      <c r="I100" s="182"/>
      <c r="J100" s="182"/>
      <c r="K100" s="182"/>
      <c r="L100" s="140"/>
      <c r="M100" s="141"/>
      <c r="N100" s="144"/>
      <c r="O100" s="144"/>
      <c r="P100" s="144"/>
      <c r="Q100" s="144"/>
      <c r="R100" s="144"/>
      <c r="S100" s="144"/>
      <c r="T100" s="63"/>
      <c r="V100" s="85"/>
      <c r="W100" s="85"/>
      <c r="X100" s="85"/>
      <c r="Y100" s="85"/>
    </row>
    <row r="101" spans="1:25" ht="18" customHeight="1">
      <c r="A101" s="39"/>
      <c r="B101" s="30"/>
      <c r="C101" s="30"/>
      <c r="D101" s="366" t="s">
        <v>297</v>
      </c>
      <c r="E101" s="367"/>
      <c r="F101" s="367"/>
      <c r="G101" s="367"/>
      <c r="H101" s="367"/>
      <c r="I101" s="367"/>
      <c r="J101" s="367"/>
      <c r="K101" s="367"/>
      <c r="L101" s="364" t="s">
        <v>718</v>
      </c>
      <c r="M101" s="365"/>
      <c r="N101" s="358" t="s">
        <v>772</v>
      </c>
      <c r="O101" s="358"/>
      <c r="P101" s="358"/>
      <c r="Q101" s="358"/>
      <c r="R101" s="164">
        <f>48.59+(55.27+0.98+3.9+3.5)</f>
        <v>112.24000000000001</v>
      </c>
      <c r="S101" s="165"/>
      <c r="T101" s="63"/>
      <c r="V101" s="85"/>
      <c r="W101" s="85"/>
      <c r="X101" s="85"/>
      <c r="Y101" s="85"/>
    </row>
    <row r="102" spans="1:25" ht="18" customHeight="1">
      <c r="A102" s="39"/>
      <c r="B102" s="30"/>
      <c r="C102" s="30"/>
      <c r="D102" s="366" t="s">
        <v>300</v>
      </c>
      <c r="E102" s="367"/>
      <c r="F102" s="367"/>
      <c r="G102" s="367"/>
      <c r="H102" s="367"/>
      <c r="I102" s="367"/>
      <c r="J102" s="367"/>
      <c r="K102" s="367"/>
      <c r="L102" s="364" t="s">
        <v>718</v>
      </c>
      <c r="M102" s="365"/>
      <c r="N102" s="358" t="s">
        <v>772</v>
      </c>
      <c r="O102" s="358"/>
      <c r="P102" s="358"/>
      <c r="Q102" s="358"/>
      <c r="R102" s="164">
        <f>48.59+63.65</f>
        <v>112.24000000000001</v>
      </c>
      <c r="S102" s="165"/>
      <c r="T102" s="63"/>
      <c r="V102" s="85"/>
      <c r="W102" s="85"/>
      <c r="X102" s="85"/>
      <c r="Y102" s="85"/>
    </row>
    <row r="103" spans="1:25" ht="18" customHeight="1">
      <c r="A103" s="39"/>
      <c r="B103" s="30"/>
      <c r="C103" s="30"/>
      <c r="D103" s="366" t="s">
        <v>298</v>
      </c>
      <c r="E103" s="367"/>
      <c r="F103" s="367"/>
      <c r="G103" s="367"/>
      <c r="H103" s="367"/>
      <c r="I103" s="367"/>
      <c r="J103" s="367"/>
      <c r="K103" s="367"/>
      <c r="L103" s="364" t="s">
        <v>647</v>
      </c>
      <c r="M103" s="365"/>
      <c r="N103" s="358" t="s">
        <v>296</v>
      </c>
      <c r="O103" s="358"/>
      <c r="P103" s="358"/>
      <c r="Q103" s="358"/>
      <c r="R103" s="368">
        <f>253976</f>
        <v>253976</v>
      </c>
      <c r="S103" s="369"/>
      <c r="T103" s="63"/>
      <c r="V103" s="85"/>
      <c r="W103" s="85"/>
      <c r="X103" s="85"/>
      <c r="Y103" s="85"/>
    </row>
    <row r="104" spans="1:25" ht="18" customHeight="1">
      <c r="A104" s="39"/>
      <c r="B104" s="30"/>
      <c r="C104" s="30"/>
      <c r="D104" s="366" t="s">
        <v>301</v>
      </c>
      <c r="E104" s="367"/>
      <c r="F104" s="367"/>
      <c r="G104" s="367"/>
      <c r="H104" s="367"/>
      <c r="I104" s="367"/>
      <c r="J104" s="367"/>
      <c r="K104" s="367"/>
      <c r="L104" s="364" t="s">
        <v>647</v>
      </c>
      <c r="M104" s="365"/>
      <c r="N104" s="358" t="s">
        <v>296</v>
      </c>
      <c r="O104" s="358"/>
      <c r="P104" s="358"/>
      <c r="Q104" s="358"/>
      <c r="R104" s="368">
        <f>253976</f>
        <v>253976</v>
      </c>
      <c r="S104" s="369"/>
      <c r="T104" s="63"/>
      <c r="V104" s="85"/>
      <c r="W104" s="85"/>
      <c r="X104" s="85"/>
      <c r="Y104" s="85"/>
    </row>
    <row r="105" spans="1:25" ht="18" customHeight="1">
      <c r="A105" s="39"/>
      <c r="B105" s="30"/>
      <c r="C105" s="30"/>
      <c r="D105" s="366" t="s">
        <v>495</v>
      </c>
      <c r="E105" s="367"/>
      <c r="F105" s="367"/>
      <c r="G105" s="367"/>
      <c r="H105" s="367"/>
      <c r="I105" s="367"/>
      <c r="J105" s="367"/>
      <c r="K105" s="367"/>
      <c r="L105" s="364" t="s">
        <v>647</v>
      </c>
      <c r="M105" s="365"/>
      <c r="N105" s="358" t="s">
        <v>296</v>
      </c>
      <c r="O105" s="358"/>
      <c r="P105" s="358"/>
      <c r="Q105" s="358"/>
      <c r="R105" s="368">
        <f>5085+3124</f>
        <v>8209</v>
      </c>
      <c r="S105" s="369"/>
      <c r="T105" s="63"/>
      <c r="V105" s="85"/>
      <c r="W105" s="85"/>
      <c r="X105" s="85"/>
      <c r="Y105" s="85"/>
    </row>
    <row r="106" spans="1:25" ht="18" customHeight="1">
      <c r="A106" s="39"/>
      <c r="B106" s="30"/>
      <c r="C106" s="30"/>
      <c r="D106" s="366" t="s">
        <v>302</v>
      </c>
      <c r="E106" s="367"/>
      <c r="F106" s="367"/>
      <c r="G106" s="367"/>
      <c r="H106" s="367"/>
      <c r="I106" s="367"/>
      <c r="J106" s="367"/>
      <c r="K106" s="367"/>
      <c r="L106" s="364" t="s">
        <v>647</v>
      </c>
      <c r="M106" s="365"/>
      <c r="N106" s="358" t="s">
        <v>296</v>
      </c>
      <c r="O106" s="358"/>
      <c r="P106" s="358"/>
      <c r="Q106" s="358"/>
      <c r="R106" s="368">
        <f>5085+3124</f>
        <v>8209</v>
      </c>
      <c r="S106" s="369"/>
      <c r="T106" s="63"/>
      <c r="V106" s="85"/>
      <c r="W106" s="85"/>
      <c r="X106" s="85"/>
      <c r="Y106" s="85"/>
    </row>
    <row r="107" spans="1:25" ht="18" customHeight="1">
      <c r="A107" s="39"/>
      <c r="B107" s="30"/>
      <c r="C107" s="30"/>
      <c r="D107" s="366" t="s">
        <v>320</v>
      </c>
      <c r="E107" s="367"/>
      <c r="F107" s="367"/>
      <c r="G107" s="367"/>
      <c r="H107" s="367"/>
      <c r="I107" s="367"/>
      <c r="J107" s="367"/>
      <c r="K107" s="367"/>
      <c r="L107" s="364" t="s">
        <v>737</v>
      </c>
      <c r="M107" s="365"/>
      <c r="N107" s="358" t="s">
        <v>716</v>
      </c>
      <c r="O107" s="358"/>
      <c r="P107" s="358"/>
      <c r="Q107" s="358"/>
      <c r="R107" s="368">
        <f>398+216</f>
        <v>614</v>
      </c>
      <c r="S107" s="369"/>
      <c r="T107" s="63"/>
      <c r="V107" s="85"/>
      <c r="W107" s="85"/>
      <c r="X107" s="85"/>
      <c r="Y107" s="85"/>
    </row>
    <row r="108" spans="1:25" ht="18" customHeight="1">
      <c r="A108" s="39"/>
      <c r="B108" s="30"/>
      <c r="C108" s="30"/>
      <c r="D108" s="366" t="s">
        <v>303</v>
      </c>
      <c r="E108" s="367"/>
      <c r="F108" s="367"/>
      <c r="G108" s="367"/>
      <c r="H108" s="367"/>
      <c r="I108" s="367"/>
      <c r="J108" s="367"/>
      <c r="K108" s="367"/>
      <c r="L108" s="364" t="s">
        <v>737</v>
      </c>
      <c r="M108" s="365"/>
      <c r="N108" s="358" t="s">
        <v>716</v>
      </c>
      <c r="O108" s="358"/>
      <c r="P108" s="358"/>
      <c r="Q108" s="358"/>
      <c r="R108" s="368">
        <f>398+216</f>
        <v>614</v>
      </c>
      <c r="S108" s="369"/>
      <c r="T108" s="63"/>
      <c r="V108" s="85"/>
      <c r="W108" s="85"/>
      <c r="X108" s="85"/>
      <c r="Y108" s="85"/>
    </row>
    <row r="109" spans="1:25" ht="18" customHeight="1">
      <c r="A109" s="39"/>
      <c r="B109" s="30"/>
      <c r="C109" s="30"/>
      <c r="D109" s="366" t="s">
        <v>321</v>
      </c>
      <c r="E109" s="367"/>
      <c r="F109" s="367"/>
      <c r="G109" s="367"/>
      <c r="H109" s="367"/>
      <c r="I109" s="367"/>
      <c r="J109" s="367"/>
      <c r="K109" s="367"/>
      <c r="L109" s="364" t="s">
        <v>737</v>
      </c>
      <c r="M109" s="365"/>
      <c r="N109" s="358" t="s">
        <v>209</v>
      </c>
      <c r="O109" s="358"/>
      <c r="P109" s="358"/>
      <c r="Q109" s="358"/>
      <c r="R109" s="368">
        <v>1820</v>
      </c>
      <c r="S109" s="369"/>
      <c r="T109" s="63"/>
      <c r="V109" s="85"/>
      <c r="W109" s="85"/>
      <c r="X109" s="85"/>
      <c r="Y109" s="85"/>
    </row>
    <row r="110" spans="1:25" ht="18" customHeight="1">
      <c r="A110" s="39"/>
      <c r="B110" s="30"/>
      <c r="C110" s="30"/>
      <c r="D110" s="366" t="s">
        <v>304</v>
      </c>
      <c r="E110" s="367"/>
      <c r="F110" s="367"/>
      <c r="G110" s="367"/>
      <c r="H110" s="367"/>
      <c r="I110" s="367"/>
      <c r="J110" s="367"/>
      <c r="K110" s="367"/>
      <c r="L110" s="364" t="s">
        <v>737</v>
      </c>
      <c r="M110" s="365"/>
      <c r="N110" s="358" t="s">
        <v>209</v>
      </c>
      <c r="O110" s="358"/>
      <c r="P110" s="358"/>
      <c r="Q110" s="358"/>
      <c r="R110" s="368">
        <v>1820</v>
      </c>
      <c r="S110" s="369"/>
      <c r="T110" s="63"/>
      <c r="V110" s="85"/>
      <c r="W110" s="85"/>
      <c r="X110" s="85"/>
      <c r="Y110" s="85"/>
    </row>
    <row r="111" spans="1:25" ht="18" customHeight="1">
      <c r="A111" s="39"/>
      <c r="B111" s="30"/>
      <c r="C111" s="30"/>
      <c r="D111" s="366" t="s">
        <v>299</v>
      </c>
      <c r="E111" s="367"/>
      <c r="F111" s="367"/>
      <c r="G111" s="367"/>
      <c r="H111" s="367"/>
      <c r="I111" s="367"/>
      <c r="J111" s="367"/>
      <c r="K111" s="367"/>
      <c r="L111" s="364" t="s">
        <v>737</v>
      </c>
      <c r="M111" s="365"/>
      <c r="N111" s="358" t="s">
        <v>209</v>
      </c>
      <c r="O111" s="358"/>
      <c r="P111" s="358"/>
      <c r="Q111" s="358"/>
      <c r="R111" s="368">
        <v>192</v>
      </c>
      <c r="S111" s="369"/>
      <c r="T111" s="63"/>
      <c r="V111" s="85"/>
      <c r="W111" s="85"/>
      <c r="X111" s="85"/>
      <c r="Y111" s="85"/>
    </row>
    <row r="112" spans="1:25" ht="18" customHeight="1">
      <c r="A112" s="39"/>
      <c r="B112" s="30"/>
      <c r="C112" s="30"/>
      <c r="D112" s="366" t="s">
        <v>305</v>
      </c>
      <c r="E112" s="367"/>
      <c r="F112" s="367"/>
      <c r="G112" s="367"/>
      <c r="H112" s="367"/>
      <c r="I112" s="367"/>
      <c r="J112" s="367"/>
      <c r="K112" s="367"/>
      <c r="L112" s="364" t="s">
        <v>737</v>
      </c>
      <c r="M112" s="365"/>
      <c r="N112" s="358" t="s">
        <v>682</v>
      </c>
      <c r="O112" s="358"/>
      <c r="P112" s="358"/>
      <c r="Q112" s="358"/>
      <c r="R112" s="368">
        <v>192</v>
      </c>
      <c r="S112" s="369"/>
      <c r="T112" s="63"/>
      <c r="V112" s="85"/>
      <c r="W112" s="85"/>
      <c r="X112" s="85"/>
      <c r="Y112" s="85"/>
    </row>
    <row r="113" spans="1:25" ht="18" customHeight="1">
      <c r="A113" s="39"/>
      <c r="B113" s="30"/>
      <c r="C113" s="30"/>
      <c r="D113" s="366" t="s">
        <v>322</v>
      </c>
      <c r="E113" s="367"/>
      <c r="F113" s="367"/>
      <c r="G113" s="367"/>
      <c r="H113" s="367"/>
      <c r="I113" s="367"/>
      <c r="J113" s="367"/>
      <c r="K113" s="367"/>
      <c r="L113" s="364" t="s">
        <v>737</v>
      </c>
      <c r="M113" s="365"/>
      <c r="N113" s="358" t="s">
        <v>682</v>
      </c>
      <c r="O113" s="358"/>
      <c r="P113" s="358"/>
      <c r="Q113" s="358"/>
      <c r="R113" s="368">
        <v>5</v>
      </c>
      <c r="S113" s="369"/>
      <c r="T113" s="63"/>
      <c r="V113" s="85"/>
      <c r="W113" s="85"/>
      <c r="X113" s="85"/>
      <c r="Y113" s="85"/>
    </row>
    <row r="114" spans="1:25" ht="18" customHeight="1">
      <c r="A114" s="39"/>
      <c r="B114" s="30"/>
      <c r="C114" s="30"/>
      <c r="D114" s="366" t="s">
        <v>306</v>
      </c>
      <c r="E114" s="367"/>
      <c r="F114" s="367"/>
      <c r="G114" s="367"/>
      <c r="H114" s="367"/>
      <c r="I114" s="367"/>
      <c r="J114" s="367"/>
      <c r="K114" s="367"/>
      <c r="L114" s="364" t="s">
        <v>737</v>
      </c>
      <c r="M114" s="365"/>
      <c r="N114" s="358" t="s">
        <v>682</v>
      </c>
      <c r="O114" s="358"/>
      <c r="P114" s="358"/>
      <c r="Q114" s="358"/>
      <c r="R114" s="153">
        <v>5</v>
      </c>
      <c r="S114" s="154"/>
      <c r="T114" s="63"/>
      <c r="V114" s="85"/>
      <c r="W114" s="85"/>
      <c r="X114" s="85"/>
      <c r="Y114" s="85"/>
    </row>
    <row r="115" spans="1:25" ht="18" customHeight="1">
      <c r="A115" s="39"/>
      <c r="B115" s="30"/>
      <c r="C115" s="30"/>
      <c r="D115" s="366" t="s">
        <v>317</v>
      </c>
      <c r="E115" s="367"/>
      <c r="F115" s="367"/>
      <c r="G115" s="367"/>
      <c r="H115" s="367"/>
      <c r="I115" s="367"/>
      <c r="J115" s="367"/>
      <c r="K115" s="367"/>
      <c r="L115" s="364" t="s">
        <v>737</v>
      </c>
      <c r="M115" s="365"/>
      <c r="N115" s="358" t="s">
        <v>209</v>
      </c>
      <c r="O115" s="358"/>
      <c r="P115" s="358"/>
      <c r="Q115" s="358"/>
      <c r="R115" s="368">
        <v>280</v>
      </c>
      <c r="S115" s="369"/>
      <c r="T115" s="63"/>
      <c r="V115" s="85"/>
      <c r="W115" s="85"/>
      <c r="X115" s="85"/>
      <c r="Y115" s="85"/>
    </row>
    <row r="116" spans="1:25" ht="18" customHeight="1">
      <c r="A116" s="39"/>
      <c r="B116" s="30"/>
      <c r="C116" s="30"/>
      <c r="D116" s="366" t="s">
        <v>316</v>
      </c>
      <c r="E116" s="367"/>
      <c r="F116" s="367"/>
      <c r="G116" s="367"/>
      <c r="H116" s="367"/>
      <c r="I116" s="367"/>
      <c r="J116" s="367"/>
      <c r="K116" s="367"/>
      <c r="L116" s="364" t="s">
        <v>737</v>
      </c>
      <c r="M116" s="365"/>
      <c r="N116" s="358" t="s">
        <v>209</v>
      </c>
      <c r="O116" s="358"/>
      <c r="P116" s="358"/>
      <c r="Q116" s="358"/>
      <c r="R116" s="153">
        <v>280</v>
      </c>
      <c r="S116" s="154"/>
      <c r="T116" s="63"/>
      <c r="V116" s="85"/>
      <c r="W116" s="85"/>
      <c r="X116" s="85"/>
      <c r="Y116" s="85"/>
    </row>
    <row r="117" spans="1:25" ht="18" customHeight="1">
      <c r="A117" s="39"/>
      <c r="B117" s="30"/>
      <c r="C117" s="30"/>
      <c r="D117" s="373" t="s">
        <v>323</v>
      </c>
      <c r="E117" s="374"/>
      <c r="F117" s="374"/>
      <c r="G117" s="374"/>
      <c r="H117" s="374"/>
      <c r="I117" s="374"/>
      <c r="J117" s="374"/>
      <c r="K117" s="374"/>
      <c r="L117" s="364" t="s">
        <v>718</v>
      </c>
      <c r="M117" s="365"/>
      <c r="N117" s="358" t="s">
        <v>296</v>
      </c>
      <c r="O117" s="358"/>
      <c r="P117" s="358"/>
      <c r="Q117" s="358"/>
      <c r="R117" s="164">
        <v>0.94</v>
      </c>
      <c r="S117" s="165"/>
      <c r="T117" s="63"/>
      <c r="V117" s="85"/>
      <c r="W117" s="85"/>
      <c r="X117" s="85"/>
      <c r="Y117" s="85"/>
    </row>
    <row r="118" spans="1:25" ht="18" customHeight="1">
      <c r="A118" s="39"/>
      <c r="B118" s="30"/>
      <c r="C118" s="30"/>
      <c r="D118" s="366" t="s">
        <v>307</v>
      </c>
      <c r="E118" s="367"/>
      <c r="F118" s="367"/>
      <c r="G118" s="367"/>
      <c r="H118" s="367"/>
      <c r="I118" s="367"/>
      <c r="J118" s="367"/>
      <c r="K118" s="367"/>
      <c r="L118" s="364" t="s">
        <v>718</v>
      </c>
      <c r="M118" s="365"/>
      <c r="N118" s="358" t="s">
        <v>682</v>
      </c>
      <c r="O118" s="358"/>
      <c r="P118" s="358"/>
      <c r="Q118" s="358"/>
      <c r="R118" s="164">
        <v>0.94</v>
      </c>
      <c r="S118" s="165"/>
      <c r="T118" s="63"/>
      <c r="V118" s="85"/>
      <c r="W118" s="85"/>
      <c r="X118" s="85"/>
      <c r="Y118" s="85"/>
    </row>
    <row r="119" spans="1:25" ht="18" customHeight="1">
      <c r="A119" s="39"/>
      <c r="B119" s="30"/>
      <c r="C119" s="30"/>
      <c r="D119" s="366" t="s">
        <v>318</v>
      </c>
      <c r="E119" s="367"/>
      <c r="F119" s="367"/>
      <c r="G119" s="367"/>
      <c r="H119" s="367"/>
      <c r="I119" s="367"/>
      <c r="J119" s="367"/>
      <c r="K119" s="367"/>
      <c r="L119" s="364" t="s">
        <v>737</v>
      </c>
      <c r="M119" s="365"/>
      <c r="N119" s="358" t="s">
        <v>682</v>
      </c>
      <c r="O119" s="358"/>
      <c r="P119" s="358"/>
      <c r="Q119" s="358"/>
      <c r="R119" s="153">
        <v>5</v>
      </c>
      <c r="S119" s="154"/>
      <c r="T119" s="63"/>
      <c r="V119" s="85"/>
      <c r="W119" s="85"/>
      <c r="X119" s="85"/>
      <c r="Y119" s="85"/>
    </row>
    <row r="120" spans="1:25" ht="18" customHeight="1">
      <c r="A120" s="39"/>
      <c r="B120" s="30"/>
      <c r="C120" s="30"/>
      <c r="D120" s="373" t="s">
        <v>308</v>
      </c>
      <c r="E120" s="374"/>
      <c r="F120" s="374"/>
      <c r="G120" s="374"/>
      <c r="H120" s="374"/>
      <c r="I120" s="374"/>
      <c r="J120" s="374"/>
      <c r="K120" s="374"/>
      <c r="L120" s="364" t="s">
        <v>737</v>
      </c>
      <c r="M120" s="365"/>
      <c r="N120" s="358" t="s">
        <v>682</v>
      </c>
      <c r="O120" s="358"/>
      <c r="P120" s="358"/>
      <c r="Q120" s="358"/>
      <c r="R120" s="153">
        <v>5</v>
      </c>
      <c r="S120" s="154"/>
      <c r="T120" s="63"/>
      <c r="V120" s="85"/>
      <c r="W120" s="85"/>
      <c r="X120" s="85"/>
      <c r="Y120" s="85"/>
    </row>
    <row r="121" spans="1:25" ht="18" customHeight="1">
      <c r="A121" s="39"/>
      <c r="B121" s="30"/>
      <c r="C121" s="30"/>
      <c r="D121" s="366" t="s">
        <v>493</v>
      </c>
      <c r="E121" s="367"/>
      <c r="F121" s="367"/>
      <c r="G121" s="367"/>
      <c r="H121" s="367"/>
      <c r="I121" s="367"/>
      <c r="J121" s="367"/>
      <c r="K121" s="367"/>
      <c r="L121" s="364" t="s">
        <v>737</v>
      </c>
      <c r="M121" s="365"/>
      <c r="N121" s="358" t="s">
        <v>775</v>
      </c>
      <c r="O121" s="358"/>
      <c r="P121" s="358"/>
      <c r="Q121" s="358"/>
      <c r="R121" s="368">
        <f>28000+7000+3700+8080</f>
        <v>46780</v>
      </c>
      <c r="S121" s="369"/>
      <c r="T121" s="63"/>
      <c r="V121" s="85"/>
      <c r="W121" s="85"/>
      <c r="X121" s="85"/>
      <c r="Y121" s="85"/>
    </row>
    <row r="122" spans="1:25" ht="18" customHeight="1">
      <c r="A122" s="39"/>
      <c r="B122" s="30"/>
      <c r="C122" s="30"/>
      <c r="D122" s="373" t="s">
        <v>492</v>
      </c>
      <c r="E122" s="374"/>
      <c r="F122" s="374"/>
      <c r="G122" s="374"/>
      <c r="H122" s="374"/>
      <c r="I122" s="374"/>
      <c r="J122" s="374"/>
      <c r="K122" s="374"/>
      <c r="L122" s="364" t="s">
        <v>737</v>
      </c>
      <c r="M122" s="365"/>
      <c r="N122" s="358" t="s">
        <v>19</v>
      </c>
      <c r="O122" s="358"/>
      <c r="P122" s="358"/>
      <c r="Q122" s="358"/>
      <c r="R122" s="368">
        <f>28000+7000+3700+8080</f>
        <v>46780</v>
      </c>
      <c r="S122" s="369"/>
      <c r="T122" s="63"/>
      <c r="V122" s="85"/>
      <c r="W122" s="85"/>
      <c r="X122" s="85"/>
      <c r="Y122" s="85"/>
    </row>
    <row r="123" spans="1:25" ht="18.75" customHeight="1">
      <c r="A123" s="39"/>
      <c r="B123" s="30"/>
      <c r="C123" s="30"/>
      <c r="D123" s="417" t="s">
        <v>774</v>
      </c>
      <c r="E123" s="418"/>
      <c r="F123" s="418"/>
      <c r="G123" s="418"/>
      <c r="H123" s="418"/>
      <c r="I123" s="418"/>
      <c r="J123" s="418"/>
      <c r="K123" s="419"/>
      <c r="L123" s="364" t="s">
        <v>647</v>
      </c>
      <c r="M123" s="365"/>
      <c r="N123" s="358" t="s">
        <v>698</v>
      </c>
      <c r="O123" s="358"/>
      <c r="P123" s="358"/>
      <c r="Q123" s="358"/>
      <c r="R123" s="153">
        <v>50</v>
      </c>
      <c r="S123" s="154"/>
      <c r="T123" s="63"/>
      <c r="V123" s="85"/>
      <c r="W123" s="85"/>
      <c r="X123" s="85"/>
      <c r="Y123" s="85"/>
    </row>
    <row r="124" spans="1:25" ht="18" customHeight="1">
      <c r="A124" s="39"/>
      <c r="B124" s="30"/>
      <c r="C124" s="30"/>
      <c r="D124" s="417" t="s">
        <v>773</v>
      </c>
      <c r="E124" s="418"/>
      <c r="F124" s="418"/>
      <c r="G124" s="418"/>
      <c r="H124" s="418"/>
      <c r="I124" s="418"/>
      <c r="J124" s="418"/>
      <c r="K124" s="419"/>
      <c r="L124" s="364" t="s">
        <v>647</v>
      </c>
      <c r="M124" s="365"/>
      <c r="N124" s="358" t="s">
        <v>19</v>
      </c>
      <c r="O124" s="358"/>
      <c r="P124" s="358"/>
      <c r="Q124" s="358"/>
      <c r="R124" s="153">
        <v>50</v>
      </c>
      <c r="S124" s="154"/>
      <c r="T124" s="63"/>
      <c r="V124" s="85"/>
      <c r="W124" s="85"/>
      <c r="X124" s="85"/>
      <c r="Y124" s="85"/>
    </row>
    <row r="125" spans="1:25" ht="18" customHeight="1">
      <c r="A125" s="39"/>
      <c r="B125" s="30"/>
      <c r="C125" s="30"/>
      <c r="D125" s="417" t="s">
        <v>538</v>
      </c>
      <c r="E125" s="418"/>
      <c r="F125" s="418"/>
      <c r="G125" s="418"/>
      <c r="H125" s="418"/>
      <c r="I125" s="418"/>
      <c r="J125" s="418"/>
      <c r="K125" s="419"/>
      <c r="L125" s="364" t="s">
        <v>737</v>
      </c>
      <c r="M125" s="365"/>
      <c r="N125" s="358" t="s">
        <v>209</v>
      </c>
      <c r="O125" s="358"/>
      <c r="P125" s="358"/>
      <c r="Q125" s="358"/>
      <c r="R125" s="153">
        <v>485</v>
      </c>
      <c r="S125" s="154"/>
      <c r="T125" s="63"/>
      <c r="V125" s="85"/>
      <c r="W125" s="85"/>
      <c r="X125" s="85"/>
      <c r="Y125" s="85"/>
    </row>
    <row r="126" spans="1:25" ht="18" customHeight="1">
      <c r="A126" s="39"/>
      <c r="B126" s="30"/>
      <c r="C126" s="30"/>
      <c r="D126" s="417" t="s">
        <v>539</v>
      </c>
      <c r="E126" s="418"/>
      <c r="F126" s="418"/>
      <c r="G126" s="418"/>
      <c r="H126" s="418"/>
      <c r="I126" s="418"/>
      <c r="J126" s="418"/>
      <c r="K126" s="419"/>
      <c r="L126" s="364" t="s">
        <v>737</v>
      </c>
      <c r="M126" s="365"/>
      <c r="N126" s="358" t="s">
        <v>209</v>
      </c>
      <c r="O126" s="358"/>
      <c r="P126" s="358"/>
      <c r="Q126" s="358"/>
      <c r="R126" s="153">
        <v>485</v>
      </c>
      <c r="S126" s="154"/>
      <c r="T126" s="63"/>
      <c r="V126" s="85"/>
      <c r="W126" s="85"/>
      <c r="X126" s="85"/>
      <c r="Y126" s="85"/>
    </row>
    <row r="127" spans="1:25" ht="18" customHeight="1">
      <c r="A127" s="39"/>
      <c r="B127" s="30"/>
      <c r="C127" s="30"/>
      <c r="D127" s="184" t="s">
        <v>319</v>
      </c>
      <c r="E127" s="185"/>
      <c r="F127" s="185"/>
      <c r="G127" s="185"/>
      <c r="H127" s="185"/>
      <c r="I127" s="185"/>
      <c r="J127" s="185"/>
      <c r="K127" s="186"/>
      <c r="L127" s="415" t="s">
        <v>718</v>
      </c>
      <c r="M127" s="416"/>
      <c r="N127" s="358" t="s">
        <v>209</v>
      </c>
      <c r="O127" s="358"/>
      <c r="P127" s="358"/>
      <c r="Q127" s="358"/>
      <c r="R127" s="437">
        <v>19.28</v>
      </c>
      <c r="S127" s="438"/>
      <c r="T127" s="63"/>
      <c r="V127" s="85"/>
      <c r="W127" s="85"/>
      <c r="X127" s="85"/>
      <c r="Y127" s="85"/>
    </row>
    <row r="128" spans="1:25" ht="18.75" customHeight="1">
      <c r="A128" s="39"/>
      <c r="B128" s="30"/>
      <c r="C128" s="30"/>
      <c r="D128" s="184" t="s">
        <v>92</v>
      </c>
      <c r="E128" s="185"/>
      <c r="F128" s="185"/>
      <c r="G128" s="185"/>
      <c r="H128" s="185"/>
      <c r="I128" s="185"/>
      <c r="J128" s="185"/>
      <c r="K128" s="186"/>
      <c r="L128" s="355" t="s">
        <v>718</v>
      </c>
      <c r="M128" s="357"/>
      <c r="N128" s="144" t="s">
        <v>692</v>
      </c>
      <c r="O128" s="144"/>
      <c r="P128" s="144"/>
      <c r="Q128" s="144"/>
      <c r="R128" s="517">
        <v>19.28</v>
      </c>
      <c r="S128" s="518"/>
      <c r="T128" s="63"/>
      <c r="V128" s="85"/>
      <c r="W128" s="85"/>
      <c r="X128" s="85"/>
      <c r="Y128" s="85"/>
    </row>
    <row r="129" spans="1:25" ht="18.75" customHeight="1">
      <c r="A129" s="39"/>
      <c r="B129" s="30"/>
      <c r="C129" s="30"/>
      <c r="D129" s="184" t="s">
        <v>90</v>
      </c>
      <c r="E129" s="185"/>
      <c r="F129" s="185"/>
      <c r="G129" s="185"/>
      <c r="H129" s="185"/>
      <c r="I129" s="185"/>
      <c r="J129" s="185"/>
      <c r="K129" s="186"/>
      <c r="L129" s="415" t="s">
        <v>718</v>
      </c>
      <c r="M129" s="416"/>
      <c r="N129" s="358" t="s">
        <v>716</v>
      </c>
      <c r="O129" s="358"/>
      <c r="P129" s="358"/>
      <c r="Q129" s="358"/>
      <c r="R129" s="169">
        <v>15.1</v>
      </c>
      <c r="S129" s="169"/>
      <c r="T129" s="63"/>
      <c r="V129" s="85"/>
      <c r="W129" s="85"/>
      <c r="X129" s="85"/>
      <c r="Y129" s="85"/>
    </row>
    <row r="130" spans="1:25" ht="24" customHeight="1">
      <c r="A130" s="39"/>
      <c r="B130" s="30"/>
      <c r="C130" s="30"/>
      <c r="D130" s="184" t="s">
        <v>91</v>
      </c>
      <c r="E130" s="185"/>
      <c r="F130" s="185"/>
      <c r="G130" s="185"/>
      <c r="H130" s="185"/>
      <c r="I130" s="185"/>
      <c r="J130" s="185"/>
      <c r="K130" s="186"/>
      <c r="L130" s="355" t="s">
        <v>718</v>
      </c>
      <c r="M130" s="357"/>
      <c r="N130" s="144" t="s">
        <v>698</v>
      </c>
      <c r="O130" s="144"/>
      <c r="P130" s="144"/>
      <c r="Q130" s="144"/>
      <c r="R130" s="144">
        <v>15.1</v>
      </c>
      <c r="S130" s="144"/>
      <c r="T130" s="63"/>
      <c r="V130" s="85"/>
      <c r="W130" s="85"/>
      <c r="X130" s="85"/>
      <c r="Y130" s="85"/>
    </row>
    <row r="131" spans="1:25" ht="23.25" customHeight="1">
      <c r="A131" s="39"/>
      <c r="B131" s="30"/>
      <c r="C131" s="30"/>
      <c r="D131" s="161" t="s">
        <v>496</v>
      </c>
      <c r="E131" s="162"/>
      <c r="F131" s="162"/>
      <c r="G131" s="162"/>
      <c r="H131" s="162"/>
      <c r="I131" s="162"/>
      <c r="J131" s="162"/>
      <c r="K131" s="163"/>
      <c r="L131" s="140" t="s">
        <v>647</v>
      </c>
      <c r="M131" s="141"/>
      <c r="N131" s="140" t="s">
        <v>716</v>
      </c>
      <c r="O131" s="142"/>
      <c r="P131" s="142"/>
      <c r="Q131" s="141"/>
      <c r="R131" s="361">
        <v>6050</v>
      </c>
      <c r="S131" s="363"/>
      <c r="T131" s="63"/>
      <c r="V131" s="85"/>
      <c r="W131" s="85"/>
      <c r="X131" s="85"/>
      <c r="Y131" s="85"/>
    </row>
    <row r="132" spans="1:25" ht="21.75" customHeight="1">
      <c r="A132" s="39"/>
      <c r="B132" s="30"/>
      <c r="C132" s="30"/>
      <c r="D132" s="161" t="s">
        <v>496</v>
      </c>
      <c r="E132" s="162"/>
      <c r="F132" s="162"/>
      <c r="G132" s="162"/>
      <c r="H132" s="162"/>
      <c r="I132" s="162"/>
      <c r="J132" s="162"/>
      <c r="K132" s="163"/>
      <c r="L132" s="140" t="s">
        <v>647</v>
      </c>
      <c r="M132" s="141"/>
      <c r="N132" s="169" t="s">
        <v>698</v>
      </c>
      <c r="O132" s="169"/>
      <c r="P132" s="169"/>
      <c r="Q132" s="169"/>
      <c r="R132" s="361">
        <v>6050</v>
      </c>
      <c r="S132" s="363"/>
      <c r="T132" s="63"/>
      <c r="V132" s="85"/>
      <c r="W132" s="85"/>
      <c r="X132" s="85"/>
      <c r="Y132" s="85"/>
    </row>
    <row r="133" spans="1:25" ht="18" customHeight="1">
      <c r="A133" s="39"/>
      <c r="B133" s="30"/>
      <c r="C133" s="30"/>
      <c r="D133" s="166" t="s">
        <v>105</v>
      </c>
      <c r="E133" s="167"/>
      <c r="F133" s="167"/>
      <c r="G133" s="167"/>
      <c r="H133" s="167"/>
      <c r="I133" s="167"/>
      <c r="J133" s="167"/>
      <c r="K133" s="168"/>
      <c r="L133" s="140" t="s">
        <v>737</v>
      </c>
      <c r="M133" s="141"/>
      <c r="N133" s="358" t="s">
        <v>209</v>
      </c>
      <c r="O133" s="358"/>
      <c r="P133" s="358"/>
      <c r="Q133" s="358"/>
      <c r="R133" s="280">
        <f>8+64+34+89+79+115+30+49+34+54+82+68+42+76+48+44+33+16+231+201+18</f>
        <v>1415</v>
      </c>
      <c r="S133" s="281"/>
      <c r="T133" s="63"/>
      <c r="V133" s="85"/>
      <c r="W133" s="85"/>
      <c r="X133" s="85"/>
      <c r="Y133" s="85"/>
    </row>
    <row r="134" spans="1:25" ht="18" customHeight="1">
      <c r="A134" s="39"/>
      <c r="B134" s="30"/>
      <c r="C134" s="30"/>
      <c r="D134" s="143" t="s">
        <v>664</v>
      </c>
      <c r="E134" s="143"/>
      <c r="F134" s="143"/>
      <c r="G134" s="143"/>
      <c r="H134" s="143"/>
      <c r="I134" s="143"/>
      <c r="J134" s="143"/>
      <c r="K134" s="143"/>
      <c r="L134" s="140" t="s">
        <v>737</v>
      </c>
      <c r="M134" s="141"/>
      <c r="N134" s="144" t="s">
        <v>691</v>
      </c>
      <c r="O134" s="144"/>
      <c r="P134" s="144"/>
      <c r="Q134" s="144"/>
      <c r="R134" s="280">
        <v>1415</v>
      </c>
      <c r="S134" s="281"/>
      <c r="T134" s="63"/>
      <c r="V134" s="85"/>
      <c r="W134" s="85"/>
      <c r="X134" s="85"/>
      <c r="Y134" s="85"/>
    </row>
    <row r="135" spans="1:25" ht="18" customHeight="1">
      <c r="A135" s="39"/>
      <c r="B135" s="30"/>
      <c r="C135" s="30"/>
      <c r="D135" s="366" t="s">
        <v>330</v>
      </c>
      <c r="E135" s="367"/>
      <c r="F135" s="367"/>
      <c r="G135" s="367"/>
      <c r="H135" s="367"/>
      <c r="I135" s="367"/>
      <c r="J135" s="367"/>
      <c r="K135" s="367"/>
      <c r="L135" s="140" t="s">
        <v>647</v>
      </c>
      <c r="M135" s="141"/>
      <c r="N135" s="358" t="s">
        <v>209</v>
      </c>
      <c r="O135" s="358"/>
      <c r="P135" s="358"/>
      <c r="Q135" s="358"/>
      <c r="R135" s="280">
        <v>400</v>
      </c>
      <c r="S135" s="281"/>
      <c r="T135" s="63"/>
      <c r="V135" s="85"/>
      <c r="W135" s="85"/>
      <c r="X135" s="85"/>
      <c r="Y135" s="85"/>
    </row>
    <row r="136" spans="1:25" ht="18" customHeight="1">
      <c r="A136" s="39"/>
      <c r="B136" s="30"/>
      <c r="C136" s="30"/>
      <c r="D136" s="366" t="s">
        <v>329</v>
      </c>
      <c r="E136" s="367"/>
      <c r="F136" s="367"/>
      <c r="G136" s="367"/>
      <c r="H136" s="367"/>
      <c r="I136" s="367"/>
      <c r="J136" s="367"/>
      <c r="K136" s="367"/>
      <c r="L136" s="140" t="s">
        <v>647</v>
      </c>
      <c r="M136" s="141"/>
      <c r="N136" s="144" t="s">
        <v>691</v>
      </c>
      <c r="O136" s="144"/>
      <c r="P136" s="144"/>
      <c r="Q136" s="144"/>
      <c r="R136" s="280">
        <v>400</v>
      </c>
      <c r="S136" s="281"/>
      <c r="T136" s="63"/>
      <c r="V136" s="85"/>
      <c r="W136" s="85"/>
      <c r="X136" s="85"/>
      <c r="Y136" s="85"/>
    </row>
    <row r="137" spans="1:25" ht="18" customHeight="1">
      <c r="A137" s="39"/>
      <c r="B137" s="30"/>
      <c r="C137" s="30"/>
      <c r="D137" s="366" t="s">
        <v>332</v>
      </c>
      <c r="E137" s="367"/>
      <c r="F137" s="367"/>
      <c r="G137" s="367"/>
      <c r="H137" s="367"/>
      <c r="I137" s="367"/>
      <c r="J137" s="367"/>
      <c r="K137" s="367"/>
      <c r="L137" s="140" t="s">
        <v>331</v>
      </c>
      <c r="M137" s="141"/>
      <c r="N137" s="358" t="s">
        <v>209</v>
      </c>
      <c r="O137" s="358"/>
      <c r="P137" s="358"/>
      <c r="Q137" s="358"/>
      <c r="R137" s="280">
        <v>608</v>
      </c>
      <c r="S137" s="281"/>
      <c r="T137" s="63"/>
      <c r="V137" s="85"/>
      <c r="W137" s="85"/>
      <c r="X137" s="85"/>
      <c r="Y137" s="85"/>
    </row>
    <row r="138" spans="1:25" ht="21.75" customHeight="1">
      <c r="A138" s="39"/>
      <c r="B138" s="30"/>
      <c r="C138" s="30"/>
      <c r="D138" s="366" t="s">
        <v>333</v>
      </c>
      <c r="E138" s="367"/>
      <c r="F138" s="367"/>
      <c r="G138" s="367"/>
      <c r="H138" s="367"/>
      <c r="I138" s="367"/>
      <c r="J138" s="367"/>
      <c r="K138" s="367"/>
      <c r="L138" s="140" t="s">
        <v>331</v>
      </c>
      <c r="M138" s="141"/>
      <c r="N138" s="355" t="s">
        <v>698</v>
      </c>
      <c r="O138" s="356"/>
      <c r="P138" s="356"/>
      <c r="Q138" s="357"/>
      <c r="R138" s="280">
        <v>608</v>
      </c>
      <c r="S138" s="281"/>
      <c r="T138" s="63"/>
      <c r="V138" s="85"/>
      <c r="W138" s="85"/>
      <c r="X138" s="85"/>
      <c r="Y138" s="85"/>
    </row>
    <row r="139" spans="1:25" ht="21.75" customHeight="1">
      <c r="A139" s="39"/>
      <c r="B139" s="30"/>
      <c r="C139" s="30"/>
      <c r="D139" s="371" t="s">
        <v>346</v>
      </c>
      <c r="E139" s="372"/>
      <c r="F139" s="372"/>
      <c r="G139" s="372"/>
      <c r="H139" s="372"/>
      <c r="I139" s="372"/>
      <c r="J139" s="372"/>
      <c r="K139" s="372"/>
      <c r="L139" s="361" t="s">
        <v>718</v>
      </c>
      <c r="M139" s="363"/>
      <c r="N139" s="358" t="s">
        <v>756</v>
      </c>
      <c r="O139" s="358"/>
      <c r="P139" s="358"/>
      <c r="Q139" s="358"/>
      <c r="R139" s="349">
        <v>1</v>
      </c>
      <c r="S139" s="350"/>
      <c r="T139" s="63"/>
      <c r="V139" s="85"/>
      <c r="W139" s="85"/>
      <c r="X139" s="85"/>
      <c r="Y139" s="85"/>
    </row>
    <row r="140" spans="1:25" ht="18" customHeight="1">
      <c r="A140" s="39"/>
      <c r="B140" s="30"/>
      <c r="C140" s="30"/>
      <c r="D140" s="371" t="s">
        <v>347</v>
      </c>
      <c r="E140" s="372"/>
      <c r="F140" s="372"/>
      <c r="G140" s="372"/>
      <c r="H140" s="372"/>
      <c r="I140" s="372"/>
      <c r="J140" s="372"/>
      <c r="K140" s="372"/>
      <c r="L140" s="361" t="s">
        <v>718</v>
      </c>
      <c r="M140" s="363"/>
      <c r="N140" s="358" t="s">
        <v>756</v>
      </c>
      <c r="O140" s="358"/>
      <c r="P140" s="358"/>
      <c r="Q140" s="358"/>
      <c r="R140" s="349">
        <v>1</v>
      </c>
      <c r="S140" s="350"/>
      <c r="T140" s="63"/>
      <c r="V140" s="85"/>
      <c r="W140" s="85"/>
      <c r="X140" s="85"/>
      <c r="Y140" s="85"/>
    </row>
    <row r="141" spans="1:25" ht="21" customHeight="1">
      <c r="A141" s="39"/>
      <c r="B141" s="30"/>
      <c r="C141" s="30"/>
      <c r="D141" s="337" t="s">
        <v>770</v>
      </c>
      <c r="E141" s="376"/>
      <c r="F141" s="376"/>
      <c r="G141" s="376"/>
      <c r="H141" s="376"/>
      <c r="I141" s="376"/>
      <c r="J141" s="376"/>
      <c r="K141" s="377"/>
      <c r="L141" s="140" t="s">
        <v>737</v>
      </c>
      <c r="M141" s="141"/>
      <c r="N141" s="358" t="s">
        <v>584</v>
      </c>
      <c r="O141" s="358"/>
      <c r="P141" s="358"/>
      <c r="Q141" s="358"/>
      <c r="R141" s="351">
        <f>14+3</f>
        <v>17</v>
      </c>
      <c r="S141" s="352"/>
      <c r="T141" s="63"/>
      <c r="V141" s="85"/>
      <c r="W141" s="85"/>
      <c r="X141" s="85"/>
      <c r="Y141" s="85"/>
    </row>
    <row r="142" spans="1:25" ht="19.5" customHeight="1">
      <c r="A142" s="39"/>
      <c r="B142" s="30"/>
      <c r="C142" s="30"/>
      <c r="D142" s="412" t="s">
        <v>771</v>
      </c>
      <c r="E142" s="413"/>
      <c r="F142" s="413"/>
      <c r="G142" s="413"/>
      <c r="H142" s="413"/>
      <c r="I142" s="413"/>
      <c r="J142" s="413"/>
      <c r="K142" s="414"/>
      <c r="L142" s="364" t="s">
        <v>737</v>
      </c>
      <c r="M142" s="365"/>
      <c r="N142" s="358" t="s">
        <v>584</v>
      </c>
      <c r="O142" s="358"/>
      <c r="P142" s="358"/>
      <c r="Q142" s="358"/>
      <c r="R142" s="351">
        <f>14+3</f>
        <v>17</v>
      </c>
      <c r="S142" s="352"/>
      <c r="T142" s="63"/>
      <c r="V142" s="85"/>
      <c r="W142" s="85"/>
      <c r="X142" s="85"/>
      <c r="Y142" s="85"/>
    </row>
    <row r="143" spans="1:25" ht="0.75" customHeight="1" hidden="1">
      <c r="A143" s="39"/>
      <c r="B143" s="30"/>
      <c r="C143" s="30"/>
      <c r="D143" s="409" t="s">
        <v>58</v>
      </c>
      <c r="E143" s="410"/>
      <c r="F143" s="410"/>
      <c r="G143" s="410"/>
      <c r="H143" s="410"/>
      <c r="I143" s="410"/>
      <c r="J143" s="410"/>
      <c r="K143" s="411"/>
      <c r="L143" s="364" t="s">
        <v>737</v>
      </c>
      <c r="M143" s="365"/>
      <c r="N143" s="358" t="s">
        <v>716</v>
      </c>
      <c r="O143" s="358"/>
      <c r="P143" s="358"/>
      <c r="Q143" s="358"/>
      <c r="R143" s="351">
        <v>38</v>
      </c>
      <c r="S143" s="352"/>
      <c r="T143" s="63"/>
      <c r="V143" s="85"/>
      <c r="W143" s="85"/>
      <c r="X143" s="85"/>
      <c r="Y143" s="85"/>
    </row>
    <row r="144" spans="1:25" ht="21" customHeight="1" hidden="1">
      <c r="A144" s="39"/>
      <c r="B144" s="30"/>
      <c r="C144" s="30"/>
      <c r="D144" s="409" t="s">
        <v>57</v>
      </c>
      <c r="E144" s="410"/>
      <c r="F144" s="410"/>
      <c r="G144" s="410"/>
      <c r="H144" s="410"/>
      <c r="I144" s="410"/>
      <c r="J144" s="410"/>
      <c r="K144" s="411"/>
      <c r="L144" s="364" t="s">
        <v>737</v>
      </c>
      <c r="M144" s="365"/>
      <c r="N144" s="358" t="s">
        <v>716</v>
      </c>
      <c r="O144" s="358"/>
      <c r="P144" s="358"/>
      <c r="Q144" s="358"/>
      <c r="R144" s="351">
        <v>38</v>
      </c>
      <c r="S144" s="352"/>
      <c r="T144" s="63"/>
      <c r="V144" s="85"/>
      <c r="W144" s="85"/>
      <c r="X144" s="85"/>
      <c r="Y144" s="85"/>
    </row>
    <row r="145" spans="1:25" ht="20.25" customHeight="1">
      <c r="A145" s="39"/>
      <c r="B145" s="30"/>
      <c r="C145" s="30"/>
      <c r="D145" s="409" t="s">
        <v>180</v>
      </c>
      <c r="E145" s="410"/>
      <c r="F145" s="410"/>
      <c r="G145" s="410"/>
      <c r="H145" s="410"/>
      <c r="I145" s="410"/>
      <c r="J145" s="410"/>
      <c r="K145" s="411"/>
      <c r="L145" s="364" t="s">
        <v>737</v>
      </c>
      <c r="M145" s="365"/>
      <c r="N145" s="364" t="s">
        <v>763</v>
      </c>
      <c r="O145" s="370"/>
      <c r="P145" s="370"/>
      <c r="Q145" s="365"/>
      <c r="R145" s="351">
        <v>20</v>
      </c>
      <c r="S145" s="352"/>
      <c r="T145" s="63"/>
      <c r="V145" s="85"/>
      <c r="W145" s="85"/>
      <c r="X145" s="85"/>
      <c r="Y145" s="85"/>
    </row>
    <row r="146" spans="1:25" ht="20.25" customHeight="1">
      <c r="A146" s="39"/>
      <c r="B146" s="30"/>
      <c r="C146" s="30"/>
      <c r="D146" s="409" t="s">
        <v>181</v>
      </c>
      <c r="E146" s="410"/>
      <c r="F146" s="410"/>
      <c r="G146" s="410"/>
      <c r="H146" s="410"/>
      <c r="I146" s="410"/>
      <c r="J146" s="410"/>
      <c r="K146" s="411"/>
      <c r="L146" s="364" t="s">
        <v>737</v>
      </c>
      <c r="M146" s="365"/>
      <c r="N146" s="364" t="s">
        <v>763</v>
      </c>
      <c r="O146" s="370"/>
      <c r="P146" s="370"/>
      <c r="Q146" s="365"/>
      <c r="R146" s="351">
        <v>20</v>
      </c>
      <c r="S146" s="352"/>
      <c r="T146" s="63"/>
      <c r="V146" s="85"/>
      <c r="W146" s="85"/>
      <c r="X146" s="85"/>
      <c r="Y146" s="85"/>
    </row>
    <row r="147" spans="1:25" ht="20.25" customHeight="1">
      <c r="A147" s="39"/>
      <c r="B147" s="30"/>
      <c r="C147" s="30"/>
      <c r="D147" s="412" t="s">
        <v>20</v>
      </c>
      <c r="E147" s="413"/>
      <c r="F147" s="413"/>
      <c r="G147" s="413"/>
      <c r="H147" s="413"/>
      <c r="I147" s="413"/>
      <c r="J147" s="413"/>
      <c r="K147" s="414"/>
      <c r="L147" s="364" t="s">
        <v>737</v>
      </c>
      <c r="M147" s="365"/>
      <c r="N147" s="364" t="s">
        <v>691</v>
      </c>
      <c r="O147" s="370"/>
      <c r="P147" s="370"/>
      <c r="Q147" s="365"/>
      <c r="R147" s="351">
        <v>2</v>
      </c>
      <c r="S147" s="352"/>
      <c r="T147" s="63"/>
      <c r="V147" s="85"/>
      <c r="W147" s="85"/>
      <c r="X147" s="85"/>
      <c r="Y147" s="85"/>
    </row>
    <row r="148" spans="1:25" ht="20.25" customHeight="1">
      <c r="A148" s="39"/>
      <c r="B148" s="30"/>
      <c r="C148" s="30"/>
      <c r="D148" s="412" t="s">
        <v>21</v>
      </c>
      <c r="E148" s="413"/>
      <c r="F148" s="413"/>
      <c r="G148" s="413"/>
      <c r="H148" s="413"/>
      <c r="I148" s="413"/>
      <c r="J148" s="413"/>
      <c r="K148" s="414"/>
      <c r="L148" s="364" t="s">
        <v>737</v>
      </c>
      <c r="M148" s="365"/>
      <c r="N148" s="364" t="s">
        <v>691</v>
      </c>
      <c r="O148" s="370"/>
      <c r="P148" s="370"/>
      <c r="Q148" s="365"/>
      <c r="R148" s="351">
        <v>2</v>
      </c>
      <c r="S148" s="352"/>
      <c r="T148" s="63"/>
      <c r="V148" s="85"/>
      <c r="W148" s="85"/>
      <c r="X148" s="85"/>
      <c r="Y148" s="85"/>
    </row>
    <row r="149" spans="1:25" ht="19.5" customHeight="1">
      <c r="A149" s="39"/>
      <c r="B149" s="30"/>
      <c r="C149" s="30"/>
      <c r="D149" s="181" t="s">
        <v>694</v>
      </c>
      <c r="E149" s="182"/>
      <c r="F149" s="182"/>
      <c r="G149" s="182"/>
      <c r="H149" s="182"/>
      <c r="I149" s="182"/>
      <c r="J149" s="182"/>
      <c r="K149" s="182"/>
      <c r="L149" s="140"/>
      <c r="M149" s="141"/>
      <c r="N149" s="144"/>
      <c r="O149" s="144"/>
      <c r="P149" s="144"/>
      <c r="Q149" s="144"/>
      <c r="R149" s="144"/>
      <c r="S149" s="144"/>
      <c r="T149" s="63"/>
      <c r="V149" s="85"/>
      <c r="W149" s="85"/>
      <c r="X149" s="85"/>
      <c r="Y149" s="85"/>
    </row>
    <row r="150" spans="1:25" ht="18" customHeight="1">
      <c r="A150" s="39"/>
      <c r="B150" s="30"/>
      <c r="C150" s="30"/>
      <c r="D150" s="373" t="s">
        <v>469</v>
      </c>
      <c r="E150" s="374"/>
      <c r="F150" s="374"/>
      <c r="G150" s="374"/>
      <c r="H150" s="374"/>
      <c r="I150" s="374"/>
      <c r="J150" s="374"/>
      <c r="K150" s="375"/>
      <c r="L150" s="364" t="s">
        <v>695</v>
      </c>
      <c r="M150" s="365"/>
      <c r="N150" s="140" t="s">
        <v>603</v>
      </c>
      <c r="O150" s="142"/>
      <c r="P150" s="142"/>
      <c r="Q150" s="141"/>
      <c r="R150" s="295">
        <f>(2789070+1771210+18080+47360+14550+116100+37720+93750)/R101</f>
        <v>43548.11119030648</v>
      </c>
      <c r="S150" s="296"/>
      <c r="T150" s="63"/>
      <c r="U150" s="125">
        <f>R150*R101</f>
        <v>4887840</v>
      </c>
      <c r="V150" s="117"/>
      <c r="W150" s="85"/>
      <c r="X150" s="88"/>
      <c r="Y150" s="85"/>
    </row>
    <row r="151" spans="1:25" ht="18" customHeight="1">
      <c r="A151" s="39"/>
      <c r="B151" s="30"/>
      <c r="C151" s="30"/>
      <c r="D151" s="373" t="s">
        <v>309</v>
      </c>
      <c r="E151" s="374"/>
      <c r="F151" s="374"/>
      <c r="G151" s="374"/>
      <c r="H151" s="374"/>
      <c r="I151" s="374"/>
      <c r="J151" s="374"/>
      <c r="K151" s="375"/>
      <c r="L151" s="364" t="s">
        <v>695</v>
      </c>
      <c r="M151" s="365"/>
      <c r="N151" s="140" t="s">
        <v>603</v>
      </c>
      <c r="O151" s="142"/>
      <c r="P151" s="142"/>
      <c r="Q151" s="141"/>
      <c r="R151" s="295">
        <f>656080/R103</f>
        <v>2.5832362112955556</v>
      </c>
      <c r="S151" s="296"/>
      <c r="T151" s="63"/>
      <c r="U151" s="126">
        <f>R151*R103</f>
        <v>656080</v>
      </c>
      <c r="V151" s="85"/>
      <c r="W151" s="85"/>
      <c r="X151" s="88"/>
      <c r="Y151" s="85"/>
    </row>
    <row r="152" spans="1:25" ht="18" customHeight="1">
      <c r="A152" s="39"/>
      <c r="B152" s="30"/>
      <c r="C152" s="30"/>
      <c r="D152" s="373" t="s">
        <v>313</v>
      </c>
      <c r="E152" s="374"/>
      <c r="F152" s="374"/>
      <c r="G152" s="374"/>
      <c r="H152" s="374"/>
      <c r="I152" s="374"/>
      <c r="J152" s="374"/>
      <c r="K152" s="375"/>
      <c r="L152" s="364" t="s">
        <v>695</v>
      </c>
      <c r="M152" s="365"/>
      <c r="N152" s="140" t="s">
        <v>603</v>
      </c>
      <c r="O152" s="142"/>
      <c r="P152" s="142"/>
      <c r="Q152" s="141"/>
      <c r="R152" s="295">
        <f>(266910+26580)/R106</f>
        <v>35.7522231696918</v>
      </c>
      <c r="S152" s="296"/>
      <c r="T152" s="63"/>
      <c r="U152" s="126">
        <f>R152*R105</f>
        <v>293490</v>
      </c>
      <c r="V152" s="85"/>
      <c r="W152" s="85"/>
      <c r="X152" s="88"/>
      <c r="Y152" s="85"/>
    </row>
    <row r="153" spans="1:25" ht="18" customHeight="1">
      <c r="A153" s="39"/>
      <c r="B153" s="30"/>
      <c r="C153" s="30"/>
      <c r="D153" s="373" t="s">
        <v>310</v>
      </c>
      <c r="E153" s="374"/>
      <c r="F153" s="374"/>
      <c r="G153" s="374"/>
      <c r="H153" s="374"/>
      <c r="I153" s="374"/>
      <c r="J153" s="374"/>
      <c r="K153" s="375"/>
      <c r="L153" s="364" t="s">
        <v>695</v>
      </c>
      <c r="M153" s="365"/>
      <c r="N153" s="140" t="s">
        <v>603</v>
      </c>
      <c r="O153" s="142"/>
      <c r="P153" s="142"/>
      <c r="Q153" s="141"/>
      <c r="R153" s="295">
        <f>891320/R107</f>
        <v>1451.6612377850163</v>
      </c>
      <c r="S153" s="296"/>
      <c r="T153" s="63"/>
      <c r="U153" s="126">
        <f>R153*R107</f>
        <v>891320</v>
      </c>
      <c r="V153" s="85"/>
      <c r="W153" s="85"/>
      <c r="X153" s="88"/>
      <c r="Y153" s="85"/>
    </row>
    <row r="154" spans="1:25" ht="18" customHeight="1">
      <c r="A154" s="39"/>
      <c r="B154" s="30"/>
      <c r="C154" s="30"/>
      <c r="D154" s="373" t="s">
        <v>311</v>
      </c>
      <c r="E154" s="374"/>
      <c r="F154" s="374"/>
      <c r="G154" s="374"/>
      <c r="H154" s="374"/>
      <c r="I154" s="374"/>
      <c r="J154" s="374"/>
      <c r="K154" s="375"/>
      <c r="L154" s="364" t="s">
        <v>695</v>
      </c>
      <c r="M154" s="365"/>
      <c r="N154" s="140" t="s">
        <v>603</v>
      </c>
      <c r="O154" s="142"/>
      <c r="P154" s="142"/>
      <c r="Q154" s="141"/>
      <c r="R154" s="295">
        <f>(204680+63400)/R109</f>
        <v>147.2967032967033</v>
      </c>
      <c r="S154" s="296"/>
      <c r="T154" s="63"/>
      <c r="U154" s="126">
        <f>R154*R109</f>
        <v>268080</v>
      </c>
      <c r="V154" s="85"/>
      <c r="W154" s="85"/>
      <c r="X154" s="88"/>
      <c r="Y154" s="85"/>
    </row>
    <row r="155" spans="1:25" ht="18" customHeight="1">
      <c r="A155" s="39"/>
      <c r="B155" s="30"/>
      <c r="C155" s="30"/>
      <c r="D155" s="373" t="s">
        <v>314</v>
      </c>
      <c r="E155" s="374"/>
      <c r="F155" s="374"/>
      <c r="G155" s="374"/>
      <c r="H155" s="374"/>
      <c r="I155" s="374"/>
      <c r="J155" s="374"/>
      <c r="K155" s="375"/>
      <c r="L155" s="364" t="s">
        <v>695</v>
      </c>
      <c r="M155" s="365"/>
      <c r="N155" s="140" t="s">
        <v>603</v>
      </c>
      <c r="O155" s="142"/>
      <c r="P155" s="142"/>
      <c r="Q155" s="141"/>
      <c r="R155" s="295">
        <f>(135400+70920)/R111</f>
        <v>1074.5833333333333</v>
      </c>
      <c r="S155" s="296"/>
      <c r="T155" s="63"/>
      <c r="U155" s="126">
        <f>R155*R111</f>
        <v>206320</v>
      </c>
      <c r="V155" s="85"/>
      <c r="W155" s="85"/>
      <c r="X155" s="88"/>
      <c r="Y155" s="85"/>
    </row>
    <row r="156" spans="1:25" ht="18" customHeight="1">
      <c r="A156" s="39"/>
      <c r="B156" s="30"/>
      <c r="C156" s="30"/>
      <c r="D156" s="373" t="s">
        <v>312</v>
      </c>
      <c r="E156" s="374"/>
      <c r="F156" s="374"/>
      <c r="G156" s="374"/>
      <c r="H156" s="374"/>
      <c r="I156" s="374"/>
      <c r="J156" s="374"/>
      <c r="K156" s="375"/>
      <c r="L156" s="364" t="s">
        <v>695</v>
      </c>
      <c r="M156" s="365"/>
      <c r="N156" s="140" t="s">
        <v>603</v>
      </c>
      <c r="O156" s="142"/>
      <c r="P156" s="142"/>
      <c r="Q156" s="141"/>
      <c r="R156" s="295">
        <f>170740/R113</f>
        <v>34148</v>
      </c>
      <c r="S156" s="296"/>
      <c r="T156" s="63"/>
      <c r="U156" s="126">
        <f>R156*R113</f>
        <v>170740</v>
      </c>
      <c r="V156" s="85"/>
      <c r="W156" s="85"/>
      <c r="X156" s="88"/>
      <c r="Y156" s="85"/>
    </row>
    <row r="157" spans="1:25" ht="18" customHeight="1">
      <c r="A157" s="39"/>
      <c r="B157" s="30"/>
      <c r="C157" s="30"/>
      <c r="D157" s="373" t="s">
        <v>315</v>
      </c>
      <c r="E157" s="374"/>
      <c r="F157" s="374"/>
      <c r="G157" s="374"/>
      <c r="H157" s="374"/>
      <c r="I157" s="374"/>
      <c r="J157" s="374"/>
      <c r="K157" s="375"/>
      <c r="L157" s="364" t="s">
        <v>695</v>
      </c>
      <c r="M157" s="365"/>
      <c r="N157" s="140" t="s">
        <v>603</v>
      </c>
      <c r="O157" s="142"/>
      <c r="P157" s="142"/>
      <c r="Q157" s="141"/>
      <c r="R157" s="295">
        <f>680.205/R116*1000</f>
        <v>2429.3035714285716</v>
      </c>
      <c r="S157" s="296"/>
      <c r="T157" s="63"/>
      <c r="U157" s="126">
        <f>R157*R115</f>
        <v>680205</v>
      </c>
      <c r="V157" s="85"/>
      <c r="W157" s="85"/>
      <c r="X157" s="88"/>
      <c r="Y157" s="85"/>
    </row>
    <row r="158" spans="1:25" ht="18" customHeight="1">
      <c r="A158" s="39"/>
      <c r="B158" s="30"/>
      <c r="C158" s="30"/>
      <c r="D158" s="373" t="s">
        <v>468</v>
      </c>
      <c r="E158" s="374"/>
      <c r="F158" s="374"/>
      <c r="G158" s="374"/>
      <c r="H158" s="374"/>
      <c r="I158" s="374"/>
      <c r="J158" s="374"/>
      <c r="K158" s="375"/>
      <c r="L158" s="364" t="s">
        <v>695</v>
      </c>
      <c r="M158" s="365"/>
      <c r="N158" s="140" t="s">
        <v>603</v>
      </c>
      <c r="O158" s="142"/>
      <c r="P158" s="142"/>
      <c r="Q158" s="141"/>
      <c r="R158" s="295">
        <f>40200/R117</f>
        <v>42765.95744680851</v>
      </c>
      <c r="S158" s="296"/>
      <c r="T158" s="63"/>
      <c r="U158" s="126">
        <f>R158*R118</f>
        <v>40200</v>
      </c>
      <c r="V158" s="85"/>
      <c r="W158" s="85"/>
      <c r="X158" s="88"/>
      <c r="Y158" s="85"/>
    </row>
    <row r="159" spans="1:25" ht="18" customHeight="1">
      <c r="A159" s="39"/>
      <c r="B159" s="30"/>
      <c r="C159" s="30"/>
      <c r="D159" s="373" t="s">
        <v>325</v>
      </c>
      <c r="E159" s="374"/>
      <c r="F159" s="374"/>
      <c r="G159" s="374"/>
      <c r="H159" s="374"/>
      <c r="I159" s="374"/>
      <c r="J159" s="374"/>
      <c r="K159" s="375"/>
      <c r="L159" s="364" t="s">
        <v>695</v>
      </c>
      <c r="M159" s="365"/>
      <c r="N159" s="140" t="s">
        <v>603</v>
      </c>
      <c r="O159" s="142"/>
      <c r="P159" s="142"/>
      <c r="Q159" s="141"/>
      <c r="R159" s="295">
        <f>182190/R119</f>
        <v>36438</v>
      </c>
      <c r="S159" s="296"/>
      <c r="T159" s="63"/>
      <c r="U159" s="126">
        <f>R159*R119</f>
        <v>182190</v>
      </c>
      <c r="V159" s="85"/>
      <c r="W159" s="85"/>
      <c r="X159" s="88"/>
      <c r="Y159" s="85"/>
    </row>
    <row r="160" spans="1:25" ht="18" customHeight="1">
      <c r="A160" s="39"/>
      <c r="B160" s="30"/>
      <c r="C160" s="30"/>
      <c r="D160" s="373" t="s">
        <v>761</v>
      </c>
      <c r="E160" s="374"/>
      <c r="F160" s="374"/>
      <c r="G160" s="374"/>
      <c r="H160" s="374"/>
      <c r="I160" s="374"/>
      <c r="J160" s="374"/>
      <c r="K160" s="375"/>
      <c r="L160" s="364" t="s">
        <v>695</v>
      </c>
      <c r="M160" s="365"/>
      <c r="N160" s="140" t="s">
        <v>603</v>
      </c>
      <c r="O160" s="142"/>
      <c r="P160" s="142"/>
      <c r="Q160" s="141"/>
      <c r="R160" s="295">
        <f>(156670+1230690)/R121</f>
        <v>29.657118426678068</v>
      </c>
      <c r="S160" s="296"/>
      <c r="T160" s="63"/>
      <c r="U160" s="126">
        <f>R160*R121</f>
        <v>1387360</v>
      </c>
      <c r="V160" s="85"/>
      <c r="W160" s="85"/>
      <c r="X160" s="88"/>
      <c r="Y160" s="85"/>
    </row>
    <row r="161" spans="1:25" ht="18" customHeight="1">
      <c r="A161" s="39"/>
      <c r="B161" s="30"/>
      <c r="C161" s="30"/>
      <c r="D161" s="373" t="s">
        <v>782</v>
      </c>
      <c r="E161" s="374"/>
      <c r="F161" s="374"/>
      <c r="G161" s="374"/>
      <c r="H161" s="374"/>
      <c r="I161" s="374"/>
      <c r="J161" s="374"/>
      <c r="K161" s="375"/>
      <c r="L161" s="364" t="s">
        <v>695</v>
      </c>
      <c r="M161" s="365"/>
      <c r="N161" s="140" t="s">
        <v>603</v>
      </c>
      <c r="O161" s="142"/>
      <c r="P161" s="142"/>
      <c r="Q161" s="141"/>
      <c r="R161" s="295">
        <f>2980/R123</f>
        <v>59.6</v>
      </c>
      <c r="S161" s="296"/>
      <c r="T161" s="63"/>
      <c r="U161" s="126">
        <f>R161*R123</f>
        <v>2980</v>
      </c>
      <c r="V161" s="85"/>
      <c r="W161" s="85"/>
      <c r="X161" s="88"/>
      <c r="Y161" s="85"/>
    </row>
    <row r="162" spans="1:25" ht="18" customHeight="1">
      <c r="A162" s="39"/>
      <c r="B162" s="30"/>
      <c r="C162" s="30"/>
      <c r="D162" s="417" t="s">
        <v>540</v>
      </c>
      <c r="E162" s="418"/>
      <c r="F162" s="418"/>
      <c r="G162" s="418"/>
      <c r="H162" s="418"/>
      <c r="I162" s="418"/>
      <c r="J162" s="418"/>
      <c r="K162" s="419"/>
      <c r="L162" s="364" t="s">
        <v>695</v>
      </c>
      <c r="M162" s="365"/>
      <c r="N162" s="140" t="s">
        <v>603</v>
      </c>
      <c r="O162" s="142"/>
      <c r="P162" s="142"/>
      <c r="Q162" s="141"/>
      <c r="R162" s="295">
        <f>250000/R125</f>
        <v>515.4639175257732</v>
      </c>
      <c r="S162" s="296"/>
      <c r="T162" s="63"/>
      <c r="U162" s="126">
        <f>R162*R125</f>
        <v>250000.00000000003</v>
      </c>
      <c r="V162" s="85"/>
      <c r="W162" s="85"/>
      <c r="X162" s="88"/>
      <c r="Y162" s="85"/>
    </row>
    <row r="163" spans="1:25" ht="17.25" customHeight="1">
      <c r="A163" s="39"/>
      <c r="B163" s="30"/>
      <c r="C163" s="30"/>
      <c r="D163" s="143" t="s">
        <v>648</v>
      </c>
      <c r="E163" s="143"/>
      <c r="F163" s="143"/>
      <c r="G163" s="143"/>
      <c r="H163" s="143"/>
      <c r="I163" s="143"/>
      <c r="J163" s="143"/>
      <c r="K163" s="143"/>
      <c r="L163" s="140" t="s">
        <v>695</v>
      </c>
      <c r="M163" s="141"/>
      <c r="N163" s="140" t="s">
        <v>603</v>
      </c>
      <c r="O163" s="142"/>
      <c r="P163" s="142"/>
      <c r="Q163" s="141"/>
      <c r="R163" s="295">
        <f>150000/R127</f>
        <v>7780.082987551867</v>
      </c>
      <c r="S163" s="296"/>
      <c r="T163" s="63"/>
      <c r="U163" s="85"/>
      <c r="V163" s="85"/>
      <c r="W163" s="85"/>
      <c r="X163" s="86"/>
      <c r="Y163" s="85"/>
    </row>
    <row r="164" spans="1:25" ht="18" customHeight="1">
      <c r="A164" s="39"/>
      <c r="B164" s="30"/>
      <c r="C164" s="30"/>
      <c r="D164" s="143" t="s">
        <v>236</v>
      </c>
      <c r="E164" s="143"/>
      <c r="F164" s="143"/>
      <c r="G164" s="143"/>
      <c r="H164" s="143"/>
      <c r="I164" s="143"/>
      <c r="J164" s="143"/>
      <c r="K164" s="143"/>
      <c r="L164" s="140" t="s">
        <v>695</v>
      </c>
      <c r="M164" s="141"/>
      <c r="N164" s="140" t="s">
        <v>603</v>
      </c>
      <c r="O164" s="142"/>
      <c r="P164" s="142"/>
      <c r="Q164" s="141"/>
      <c r="R164" s="295">
        <f>530492/R130</f>
        <v>35131.920529801326</v>
      </c>
      <c r="S164" s="296"/>
      <c r="T164" s="63"/>
      <c r="U164" s="85"/>
      <c r="V164" s="85"/>
      <c r="W164" s="85"/>
      <c r="X164" s="86"/>
      <c r="Y164" s="85"/>
    </row>
    <row r="165" spans="1:25" ht="23.25" customHeight="1">
      <c r="A165" s="39"/>
      <c r="B165" s="30"/>
      <c r="C165" s="30"/>
      <c r="D165" s="143" t="s">
        <v>237</v>
      </c>
      <c r="E165" s="143"/>
      <c r="F165" s="143"/>
      <c r="G165" s="143"/>
      <c r="H165" s="143"/>
      <c r="I165" s="143"/>
      <c r="J165" s="143"/>
      <c r="K165" s="143"/>
      <c r="L165" s="140" t="s">
        <v>695</v>
      </c>
      <c r="M165" s="141"/>
      <c r="N165" s="140" t="s">
        <v>603</v>
      </c>
      <c r="O165" s="142"/>
      <c r="P165" s="142"/>
      <c r="Q165" s="141"/>
      <c r="R165" s="295">
        <f>175000/R132</f>
        <v>28.925619834710744</v>
      </c>
      <c r="S165" s="296"/>
      <c r="T165" s="63"/>
      <c r="V165" s="85"/>
      <c r="W165" s="85"/>
      <c r="X165" s="86"/>
      <c r="Y165" s="85"/>
    </row>
    <row r="166" spans="1:25" ht="21" customHeight="1">
      <c r="A166" s="39"/>
      <c r="B166" s="30"/>
      <c r="C166" s="30"/>
      <c r="D166" s="166" t="s">
        <v>509</v>
      </c>
      <c r="E166" s="167"/>
      <c r="F166" s="167"/>
      <c r="G166" s="167"/>
      <c r="H166" s="167"/>
      <c r="I166" s="167"/>
      <c r="J166" s="167"/>
      <c r="K166" s="168"/>
      <c r="L166" s="140" t="s">
        <v>695</v>
      </c>
      <c r="M166" s="141"/>
      <c r="N166" s="140" t="s">
        <v>603</v>
      </c>
      <c r="O166" s="142"/>
      <c r="P166" s="142"/>
      <c r="Q166" s="141"/>
      <c r="R166" s="295">
        <f>1972000/R133</f>
        <v>1393.6395759717313</v>
      </c>
      <c r="S166" s="296"/>
      <c r="T166" s="63"/>
      <c r="V166" s="85"/>
      <c r="W166" s="85"/>
      <c r="X166" s="86"/>
      <c r="Y166" s="85"/>
    </row>
    <row r="167" spans="1:25" ht="21" customHeight="1">
      <c r="A167" s="39"/>
      <c r="B167" s="30"/>
      <c r="C167" s="30"/>
      <c r="D167" s="373" t="s">
        <v>334</v>
      </c>
      <c r="E167" s="374"/>
      <c r="F167" s="374"/>
      <c r="G167" s="374"/>
      <c r="H167" s="374"/>
      <c r="I167" s="374"/>
      <c r="J167" s="374"/>
      <c r="K167" s="374"/>
      <c r="L167" s="140" t="s">
        <v>695</v>
      </c>
      <c r="M167" s="141"/>
      <c r="N167" s="140" t="s">
        <v>603</v>
      </c>
      <c r="O167" s="142"/>
      <c r="P167" s="142"/>
      <c r="Q167" s="141"/>
      <c r="R167" s="295">
        <f>R92/R136*1000</f>
        <v>102.5</v>
      </c>
      <c r="S167" s="296"/>
      <c r="T167" s="63"/>
      <c r="V167" s="85"/>
      <c r="W167" s="85"/>
      <c r="X167" s="86"/>
      <c r="Y167" s="85"/>
    </row>
    <row r="168" spans="1:25" ht="21" customHeight="1">
      <c r="A168" s="39"/>
      <c r="B168" s="30"/>
      <c r="C168" s="30"/>
      <c r="D168" s="366" t="s">
        <v>335</v>
      </c>
      <c r="E168" s="367"/>
      <c r="F168" s="367"/>
      <c r="G168" s="367"/>
      <c r="H168" s="367"/>
      <c r="I168" s="367"/>
      <c r="J168" s="367"/>
      <c r="K168" s="367"/>
      <c r="L168" s="140" t="s">
        <v>695</v>
      </c>
      <c r="M168" s="141"/>
      <c r="N168" s="140" t="s">
        <v>603</v>
      </c>
      <c r="O168" s="142"/>
      <c r="P168" s="142"/>
      <c r="Q168" s="141"/>
      <c r="R168" s="290">
        <f>R93/R138*1000</f>
        <v>367.9210526315789</v>
      </c>
      <c r="S168" s="291"/>
      <c r="T168" s="63"/>
      <c r="V168" s="85"/>
      <c r="W168" s="85"/>
      <c r="X168" s="86"/>
      <c r="Y168" s="85"/>
    </row>
    <row r="169" spans="1:25" ht="21" customHeight="1">
      <c r="A169" s="39"/>
      <c r="B169" s="30"/>
      <c r="C169" s="30"/>
      <c r="D169" s="409" t="s">
        <v>467</v>
      </c>
      <c r="E169" s="410"/>
      <c r="F169" s="410"/>
      <c r="G169" s="410"/>
      <c r="H169" s="410"/>
      <c r="I169" s="410"/>
      <c r="J169" s="410"/>
      <c r="K169" s="411"/>
      <c r="L169" s="140" t="s">
        <v>556</v>
      </c>
      <c r="M169" s="141"/>
      <c r="N169" s="140" t="s">
        <v>603</v>
      </c>
      <c r="O169" s="142"/>
      <c r="P169" s="142"/>
      <c r="Q169" s="141"/>
      <c r="R169" s="221">
        <f>R94/R139</f>
        <v>268.511</v>
      </c>
      <c r="S169" s="222"/>
      <c r="T169" s="63"/>
      <c r="V169" s="85"/>
      <c r="W169" s="85"/>
      <c r="X169" s="86"/>
      <c r="Y169" s="85"/>
    </row>
    <row r="170" spans="1:25" ht="21" customHeight="1">
      <c r="A170" s="39"/>
      <c r="B170" s="30"/>
      <c r="C170" s="30"/>
      <c r="D170" s="412" t="s">
        <v>351</v>
      </c>
      <c r="E170" s="413"/>
      <c r="F170" s="413"/>
      <c r="G170" s="413"/>
      <c r="H170" s="413"/>
      <c r="I170" s="413"/>
      <c r="J170" s="413"/>
      <c r="K170" s="414"/>
      <c r="L170" s="140" t="s">
        <v>556</v>
      </c>
      <c r="M170" s="141"/>
      <c r="N170" s="140" t="s">
        <v>603</v>
      </c>
      <c r="O170" s="142"/>
      <c r="P170" s="142"/>
      <c r="Q170" s="141"/>
      <c r="R170" s="295">
        <f>R95/R142</f>
        <v>8.964411764705883</v>
      </c>
      <c r="S170" s="296"/>
      <c r="T170" s="63"/>
      <c r="V170" s="85"/>
      <c r="W170" s="85"/>
      <c r="X170" s="86"/>
      <c r="Y170" s="85"/>
    </row>
    <row r="171" spans="1:25" ht="21" customHeight="1" hidden="1">
      <c r="A171" s="39"/>
      <c r="B171" s="30"/>
      <c r="C171" s="30"/>
      <c r="D171" s="412" t="s">
        <v>59</v>
      </c>
      <c r="E171" s="413"/>
      <c r="F171" s="413"/>
      <c r="G171" s="413"/>
      <c r="H171" s="413"/>
      <c r="I171" s="413"/>
      <c r="J171" s="413"/>
      <c r="K171" s="414"/>
      <c r="L171" s="140" t="s">
        <v>556</v>
      </c>
      <c r="M171" s="141"/>
      <c r="N171" s="140" t="s">
        <v>603</v>
      </c>
      <c r="O171" s="142"/>
      <c r="P171" s="142"/>
      <c r="Q171" s="141"/>
      <c r="R171" s="353">
        <f>R96/R143</f>
        <v>0</v>
      </c>
      <c r="S171" s="354"/>
      <c r="T171" s="63"/>
      <c r="V171" s="85"/>
      <c r="W171" s="85"/>
      <c r="X171" s="86"/>
      <c r="Y171" s="85"/>
    </row>
    <row r="172" spans="1:25" ht="24" customHeight="1">
      <c r="A172" s="39"/>
      <c r="B172" s="30"/>
      <c r="C172" s="30"/>
      <c r="D172" s="459" t="s">
        <v>192</v>
      </c>
      <c r="E172" s="460"/>
      <c r="F172" s="460"/>
      <c r="G172" s="460"/>
      <c r="H172" s="460"/>
      <c r="I172" s="460"/>
      <c r="J172" s="460"/>
      <c r="K172" s="461"/>
      <c r="L172" s="140" t="s">
        <v>556</v>
      </c>
      <c r="M172" s="141"/>
      <c r="N172" s="140" t="s">
        <v>603</v>
      </c>
      <c r="O172" s="142"/>
      <c r="P172" s="142"/>
      <c r="Q172" s="141"/>
      <c r="R172" s="295">
        <f>R97/R146</f>
        <v>10</v>
      </c>
      <c r="S172" s="296"/>
      <c r="T172" s="63"/>
      <c r="V172" s="85"/>
      <c r="W172" s="85"/>
      <c r="X172" s="86"/>
      <c r="Y172" s="85"/>
    </row>
    <row r="173" spans="1:25" ht="20.25" customHeight="1">
      <c r="A173" s="39"/>
      <c r="B173" s="30"/>
      <c r="C173" s="30"/>
      <c r="D173" s="459" t="s">
        <v>22</v>
      </c>
      <c r="E173" s="460"/>
      <c r="F173" s="460"/>
      <c r="G173" s="460"/>
      <c r="H173" s="460"/>
      <c r="I173" s="460"/>
      <c r="J173" s="460"/>
      <c r="K173" s="461"/>
      <c r="L173" s="140" t="s">
        <v>556</v>
      </c>
      <c r="M173" s="141"/>
      <c r="N173" s="140" t="s">
        <v>603</v>
      </c>
      <c r="O173" s="142"/>
      <c r="P173" s="142"/>
      <c r="Q173" s="141"/>
      <c r="R173" s="295">
        <f>(R98+R99)/R147</f>
        <v>42</v>
      </c>
      <c r="S173" s="296"/>
      <c r="T173" s="63"/>
      <c r="V173" s="85"/>
      <c r="W173" s="85"/>
      <c r="X173" s="86"/>
      <c r="Y173" s="85"/>
    </row>
    <row r="174" spans="1:25" ht="18.75" customHeight="1">
      <c r="A174" s="39"/>
      <c r="B174" s="30"/>
      <c r="C174" s="30"/>
      <c r="D174" s="181" t="s">
        <v>697</v>
      </c>
      <c r="E174" s="182"/>
      <c r="F174" s="182"/>
      <c r="G174" s="182"/>
      <c r="H174" s="182"/>
      <c r="I174" s="182"/>
      <c r="J174" s="182"/>
      <c r="K174" s="182"/>
      <c r="L174" s="140"/>
      <c r="M174" s="141"/>
      <c r="N174" s="144"/>
      <c r="O174" s="144"/>
      <c r="P174" s="144"/>
      <c r="Q174" s="144"/>
      <c r="R174" s="144"/>
      <c r="S174" s="144"/>
      <c r="T174" s="63"/>
      <c r="V174" s="85"/>
      <c r="W174" s="85"/>
      <c r="X174" s="67"/>
      <c r="Y174" s="85"/>
    </row>
    <row r="175" spans="1:25" ht="34.5" customHeight="1">
      <c r="A175" s="39"/>
      <c r="B175" s="30"/>
      <c r="C175" s="30"/>
      <c r="D175" s="261" t="s">
        <v>343</v>
      </c>
      <c r="E175" s="262"/>
      <c r="F175" s="262"/>
      <c r="G175" s="262"/>
      <c r="H175" s="262"/>
      <c r="I175" s="262"/>
      <c r="J175" s="262"/>
      <c r="K175" s="263"/>
      <c r="L175" s="144" t="s">
        <v>696</v>
      </c>
      <c r="M175" s="144"/>
      <c r="N175" s="140" t="s">
        <v>603</v>
      </c>
      <c r="O175" s="142"/>
      <c r="P175" s="142"/>
      <c r="Q175" s="141"/>
      <c r="R175" s="189">
        <f>R102/R101*100</f>
        <v>100</v>
      </c>
      <c r="S175" s="189"/>
      <c r="T175" s="63"/>
      <c r="V175" s="85"/>
      <c r="W175" s="85"/>
      <c r="X175" s="67"/>
      <c r="Y175" s="85"/>
    </row>
    <row r="176" spans="1:25" ht="34.5" customHeight="1">
      <c r="A176" s="39"/>
      <c r="B176" s="30"/>
      <c r="C176" s="30"/>
      <c r="D176" s="261" t="s">
        <v>344</v>
      </c>
      <c r="E176" s="262"/>
      <c r="F176" s="262"/>
      <c r="G176" s="262"/>
      <c r="H176" s="262"/>
      <c r="I176" s="262"/>
      <c r="J176" s="262"/>
      <c r="K176" s="263"/>
      <c r="L176" s="144" t="s">
        <v>696</v>
      </c>
      <c r="M176" s="144"/>
      <c r="N176" s="140" t="s">
        <v>603</v>
      </c>
      <c r="O176" s="142"/>
      <c r="P176" s="142"/>
      <c r="Q176" s="141"/>
      <c r="R176" s="189">
        <f>R104/R103*100</f>
        <v>100</v>
      </c>
      <c r="S176" s="189"/>
      <c r="T176" s="63"/>
      <c r="V176" s="85"/>
      <c r="W176" s="85"/>
      <c r="X176" s="67"/>
      <c r="Y176" s="85"/>
    </row>
    <row r="177" spans="1:25" ht="34.5" customHeight="1">
      <c r="A177" s="39"/>
      <c r="B177" s="30"/>
      <c r="C177" s="30"/>
      <c r="D177" s="261" t="s">
        <v>387</v>
      </c>
      <c r="E177" s="262"/>
      <c r="F177" s="262"/>
      <c r="G177" s="262"/>
      <c r="H177" s="262"/>
      <c r="I177" s="262"/>
      <c r="J177" s="262"/>
      <c r="K177" s="263"/>
      <c r="L177" s="144" t="s">
        <v>696</v>
      </c>
      <c r="M177" s="144"/>
      <c r="N177" s="140" t="s">
        <v>603</v>
      </c>
      <c r="O177" s="142"/>
      <c r="P177" s="142"/>
      <c r="Q177" s="141"/>
      <c r="R177" s="189">
        <f>R106/R105*100</f>
        <v>100</v>
      </c>
      <c r="S177" s="189"/>
      <c r="T177" s="63"/>
      <c r="V177" s="85"/>
      <c r="W177" s="85"/>
      <c r="X177" s="67"/>
      <c r="Y177" s="85"/>
    </row>
    <row r="178" spans="1:25" ht="34.5" customHeight="1">
      <c r="A178" s="39"/>
      <c r="B178" s="30"/>
      <c r="C178" s="30"/>
      <c r="D178" s="261" t="s">
        <v>336</v>
      </c>
      <c r="E178" s="262"/>
      <c r="F178" s="262"/>
      <c r="G178" s="262"/>
      <c r="H178" s="262"/>
      <c r="I178" s="262"/>
      <c r="J178" s="262"/>
      <c r="K178" s="263"/>
      <c r="L178" s="144" t="s">
        <v>696</v>
      </c>
      <c r="M178" s="144"/>
      <c r="N178" s="140" t="s">
        <v>603</v>
      </c>
      <c r="O178" s="142"/>
      <c r="P178" s="142"/>
      <c r="Q178" s="141"/>
      <c r="R178" s="189">
        <f>R108/R107*100</f>
        <v>100</v>
      </c>
      <c r="S178" s="189"/>
      <c r="T178" s="63"/>
      <c r="V178" s="85"/>
      <c r="W178" s="85"/>
      <c r="X178" s="67"/>
      <c r="Y178" s="85"/>
    </row>
    <row r="179" spans="1:25" ht="34.5" customHeight="1">
      <c r="A179" s="39"/>
      <c r="B179" s="30"/>
      <c r="C179" s="30"/>
      <c r="D179" s="261" t="s">
        <v>337</v>
      </c>
      <c r="E179" s="262"/>
      <c r="F179" s="262"/>
      <c r="G179" s="262"/>
      <c r="H179" s="262"/>
      <c r="I179" s="262"/>
      <c r="J179" s="262"/>
      <c r="K179" s="263"/>
      <c r="L179" s="144" t="s">
        <v>696</v>
      </c>
      <c r="M179" s="144"/>
      <c r="N179" s="140" t="s">
        <v>603</v>
      </c>
      <c r="O179" s="142"/>
      <c r="P179" s="142"/>
      <c r="Q179" s="141"/>
      <c r="R179" s="189">
        <f>R110/R109*100</f>
        <v>100</v>
      </c>
      <c r="S179" s="189"/>
      <c r="T179" s="63"/>
      <c r="V179" s="85"/>
      <c r="W179" s="85"/>
      <c r="X179" s="67"/>
      <c r="Y179" s="85"/>
    </row>
    <row r="180" spans="1:25" ht="34.5" customHeight="1">
      <c r="A180" s="39"/>
      <c r="B180" s="30"/>
      <c r="C180" s="30"/>
      <c r="D180" s="261" t="s">
        <v>338</v>
      </c>
      <c r="E180" s="262"/>
      <c r="F180" s="262"/>
      <c r="G180" s="262"/>
      <c r="H180" s="262"/>
      <c r="I180" s="262"/>
      <c r="J180" s="262"/>
      <c r="K180" s="263"/>
      <c r="L180" s="144" t="s">
        <v>696</v>
      </c>
      <c r="M180" s="144"/>
      <c r="N180" s="140" t="s">
        <v>603</v>
      </c>
      <c r="O180" s="142"/>
      <c r="P180" s="142"/>
      <c r="Q180" s="141"/>
      <c r="R180" s="189">
        <f>R112/R111*100</f>
        <v>100</v>
      </c>
      <c r="S180" s="189"/>
      <c r="T180" s="63"/>
      <c r="V180" s="85"/>
      <c r="W180" s="85"/>
      <c r="X180" s="67"/>
      <c r="Y180" s="85"/>
    </row>
    <row r="181" spans="1:25" ht="34.5" customHeight="1">
      <c r="A181" s="39"/>
      <c r="B181" s="30"/>
      <c r="C181" s="30"/>
      <c r="D181" s="261" t="s">
        <v>339</v>
      </c>
      <c r="E181" s="262"/>
      <c r="F181" s="262"/>
      <c r="G181" s="262"/>
      <c r="H181" s="262"/>
      <c r="I181" s="262"/>
      <c r="J181" s="262"/>
      <c r="K181" s="263"/>
      <c r="L181" s="144" t="s">
        <v>696</v>
      </c>
      <c r="M181" s="144"/>
      <c r="N181" s="140" t="s">
        <v>603</v>
      </c>
      <c r="O181" s="142"/>
      <c r="P181" s="142"/>
      <c r="Q181" s="141"/>
      <c r="R181" s="189">
        <f>R114/R113*100</f>
        <v>100</v>
      </c>
      <c r="S181" s="189"/>
      <c r="T181" s="63"/>
      <c r="V181" s="85"/>
      <c r="W181" s="85"/>
      <c r="X181" s="67"/>
      <c r="Y181" s="85"/>
    </row>
    <row r="182" spans="1:25" ht="34.5" customHeight="1">
      <c r="A182" s="39"/>
      <c r="B182" s="30"/>
      <c r="C182" s="30"/>
      <c r="D182" s="261" t="s">
        <v>340</v>
      </c>
      <c r="E182" s="262"/>
      <c r="F182" s="262"/>
      <c r="G182" s="262"/>
      <c r="H182" s="262"/>
      <c r="I182" s="262"/>
      <c r="J182" s="262"/>
      <c r="K182" s="263"/>
      <c r="L182" s="144" t="s">
        <v>696</v>
      </c>
      <c r="M182" s="144"/>
      <c r="N182" s="140" t="s">
        <v>603</v>
      </c>
      <c r="O182" s="142"/>
      <c r="P182" s="142"/>
      <c r="Q182" s="141"/>
      <c r="R182" s="189">
        <f>R116/R115*100</f>
        <v>100</v>
      </c>
      <c r="S182" s="189"/>
      <c r="T182" s="63"/>
      <c r="V182" s="85"/>
      <c r="W182" s="85"/>
      <c r="X182" s="67"/>
      <c r="Y182" s="85"/>
    </row>
    <row r="183" spans="1:25" ht="34.5" customHeight="1">
      <c r="A183" s="39"/>
      <c r="B183" s="30"/>
      <c r="C183" s="30"/>
      <c r="D183" s="366" t="s">
        <v>341</v>
      </c>
      <c r="E183" s="367"/>
      <c r="F183" s="367"/>
      <c r="G183" s="367"/>
      <c r="H183" s="367"/>
      <c r="I183" s="367"/>
      <c r="J183" s="367"/>
      <c r="K183" s="367"/>
      <c r="L183" s="144" t="s">
        <v>696</v>
      </c>
      <c r="M183" s="144"/>
      <c r="N183" s="140" t="s">
        <v>603</v>
      </c>
      <c r="O183" s="142"/>
      <c r="P183" s="142"/>
      <c r="Q183" s="141"/>
      <c r="R183" s="189">
        <f>R118/R117*100</f>
        <v>100</v>
      </c>
      <c r="S183" s="189"/>
      <c r="T183" s="63"/>
      <c r="V183" s="85"/>
      <c r="W183" s="85"/>
      <c r="X183" s="67"/>
      <c r="Y183" s="85"/>
    </row>
    <row r="184" spans="1:25" ht="34.5" customHeight="1">
      <c r="A184" s="39"/>
      <c r="B184" s="30"/>
      <c r="C184" s="30"/>
      <c r="D184" s="340" t="s">
        <v>342</v>
      </c>
      <c r="E184" s="341"/>
      <c r="F184" s="341"/>
      <c r="G184" s="341"/>
      <c r="H184" s="341"/>
      <c r="I184" s="341"/>
      <c r="J184" s="341"/>
      <c r="K184" s="341"/>
      <c r="L184" s="144" t="s">
        <v>696</v>
      </c>
      <c r="M184" s="144"/>
      <c r="N184" s="140" t="s">
        <v>603</v>
      </c>
      <c r="O184" s="142"/>
      <c r="P184" s="142"/>
      <c r="Q184" s="141"/>
      <c r="R184" s="189">
        <f>R120/R119*100</f>
        <v>100</v>
      </c>
      <c r="S184" s="189"/>
      <c r="T184" s="63"/>
      <c r="V184" s="85"/>
      <c r="W184" s="85"/>
      <c r="X184" s="67"/>
      <c r="Y184" s="85"/>
    </row>
    <row r="185" spans="1:25" ht="34.5" customHeight="1">
      <c r="A185" s="39"/>
      <c r="B185" s="30"/>
      <c r="C185" s="30"/>
      <c r="D185" s="340" t="s">
        <v>494</v>
      </c>
      <c r="E185" s="341"/>
      <c r="F185" s="341"/>
      <c r="G185" s="341"/>
      <c r="H185" s="341"/>
      <c r="I185" s="341"/>
      <c r="J185" s="341"/>
      <c r="K185" s="341"/>
      <c r="L185" s="144" t="s">
        <v>696</v>
      </c>
      <c r="M185" s="144"/>
      <c r="N185" s="140" t="s">
        <v>603</v>
      </c>
      <c r="O185" s="142"/>
      <c r="P185" s="142"/>
      <c r="Q185" s="141"/>
      <c r="R185" s="189">
        <f>R122/R121*100</f>
        <v>100</v>
      </c>
      <c r="S185" s="189"/>
      <c r="T185" s="63"/>
      <c r="V185" s="85"/>
      <c r="W185" s="85"/>
      <c r="X185" s="67"/>
      <c r="Y185" s="85"/>
    </row>
    <row r="186" spans="1:25" ht="34.5" customHeight="1">
      <c r="A186" s="39"/>
      <c r="B186" s="30"/>
      <c r="C186" s="30"/>
      <c r="D186" s="161" t="s">
        <v>783</v>
      </c>
      <c r="E186" s="162"/>
      <c r="F186" s="162"/>
      <c r="G186" s="162"/>
      <c r="H186" s="162"/>
      <c r="I186" s="162"/>
      <c r="J186" s="162"/>
      <c r="K186" s="163"/>
      <c r="L186" s="144" t="s">
        <v>696</v>
      </c>
      <c r="M186" s="144"/>
      <c r="N186" s="140" t="s">
        <v>603</v>
      </c>
      <c r="O186" s="142"/>
      <c r="P186" s="142"/>
      <c r="Q186" s="141"/>
      <c r="R186" s="189">
        <f>R124/R123*100</f>
        <v>100</v>
      </c>
      <c r="S186" s="189"/>
      <c r="T186" s="63"/>
      <c r="V186" s="85"/>
      <c r="W186" s="85"/>
      <c r="X186" s="67"/>
      <c r="Y186" s="85"/>
    </row>
    <row r="187" spans="1:25" ht="34.5" customHeight="1">
      <c r="A187" s="39"/>
      <c r="B187" s="30"/>
      <c r="C187" s="30"/>
      <c r="D187" s="161" t="s">
        <v>32</v>
      </c>
      <c r="E187" s="162"/>
      <c r="F187" s="162"/>
      <c r="G187" s="162"/>
      <c r="H187" s="162"/>
      <c r="I187" s="162"/>
      <c r="J187" s="162"/>
      <c r="K187" s="163"/>
      <c r="L187" s="144" t="s">
        <v>696</v>
      </c>
      <c r="M187" s="144"/>
      <c r="N187" s="140" t="s">
        <v>603</v>
      </c>
      <c r="O187" s="142"/>
      <c r="P187" s="142"/>
      <c r="Q187" s="141"/>
      <c r="R187" s="133">
        <f>R126/R125*100</f>
        <v>100</v>
      </c>
      <c r="S187" s="134"/>
      <c r="T187" s="63"/>
      <c r="V187" s="85"/>
      <c r="W187" s="85"/>
      <c r="X187" s="67"/>
      <c r="Y187" s="85"/>
    </row>
    <row r="188" spans="1:25" ht="34.5" customHeight="1">
      <c r="A188" s="39"/>
      <c r="B188" s="30"/>
      <c r="C188" s="30"/>
      <c r="D188" s="185" t="s">
        <v>510</v>
      </c>
      <c r="E188" s="185"/>
      <c r="F188" s="185"/>
      <c r="G188" s="185"/>
      <c r="H188" s="185"/>
      <c r="I188" s="185"/>
      <c r="J188" s="185"/>
      <c r="K188" s="186"/>
      <c r="L188" s="144" t="s">
        <v>696</v>
      </c>
      <c r="M188" s="144"/>
      <c r="N188" s="140" t="s">
        <v>603</v>
      </c>
      <c r="O188" s="142"/>
      <c r="P188" s="142"/>
      <c r="Q188" s="141"/>
      <c r="R188" s="189">
        <f>R128/R127*100</f>
        <v>100</v>
      </c>
      <c r="S188" s="189"/>
      <c r="T188" s="63"/>
      <c r="V188" s="85"/>
      <c r="W188" s="85"/>
      <c r="X188" s="67"/>
      <c r="Y188" s="85"/>
    </row>
    <row r="189" spans="1:25" ht="34.5" customHeight="1">
      <c r="A189" s="39"/>
      <c r="B189" s="30"/>
      <c r="C189" s="30"/>
      <c r="D189" s="185" t="s">
        <v>511</v>
      </c>
      <c r="E189" s="185"/>
      <c r="F189" s="185"/>
      <c r="G189" s="185"/>
      <c r="H189" s="185"/>
      <c r="I189" s="185"/>
      <c r="J189" s="185"/>
      <c r="K189" s="186"/>
      <c r="L189" s="144" t="s">
        <v>696</v>
      </c>
      <c r="M189" s="144"/>
      <c r="N189" s="140" t="s">
        <v>603</v>
      </c>
      <c r="O189" s="142"/>
      <c r="P189" s="142"/>
      <c r="Q189" s="141"/>
      <c r="R189" s="189">
        <f>R130/R129*100</f>
        <v>100</v>
      </c>
      <c r="S189" s="189"/>
      <c r="T189" s="63"/>
      <c r="V189" s="85"/>
      <c r="W189" s="85"/>
      <c r="X189" s="67"/>
      <c r="Y189" s="85"/>
    </row>
    <row r="190" spans="1:25" ht="34.5" customHeight="1">
      <c r="A190" s="39"/>
      <c r="B190" s="30"/>
      <c r="C190" s="30"/>
      <c r="D190" s="192" t="s">
        <v>512</v>
      </c>
      <c r="E190" s="192"/>
      <c r="F190" s="192"/>
      <c r="G190" s="192"/>
      <c r="H190" s="192"/>
      <c r="I190" s="192"/>
      <c r="J190" s="192"/>
      <c r="K190" s="192"/>
      <c r="L190" s="144" t="s">
        <v>696</v>
      </c>
      <c r="M190" s="144"/>
      <c r="N190" s="140" t="s">
        <v>603</v>
      </c>
      <c r="O190" s="142"/>
      <c r="P190" s="142"/>
      <c r="Q190" s="141"/>
      <c r="R190" s="189">
        <f>R132/R131*100</f>
        <v>100</v>
      </c>
      <c r="S190" s="189"/>
      <c r="T190" s="63"/>
      <c r="V190" s="85"/>
      <c r="W190" s="85"/>
      <c r="X190" s="67"/>
      <c r="Y190" s="85"/>
    </row>
    <row r="191" spans="1:25" ht="19.5" customHeight="1">
      <c r="A191" s="39"/>
      <c r="B191" s="30"/>
      <c r="C191" s="30"/>
      <c r="D191" s="143" t="s">
        <v>102</v>
      </c>
      <c r="E191" s="143"/>
      <c r="F191" s="143"/>
      <c r="G191" s="143"/>
      <c r="H191" s="143"/>
      <c r="I191" s="143"/>
      <c r="J191" s="143"/>
      <c r="K191" s="143"/>
      <c r="L191" s="140" t="s">
        <v>696</v>
      </c>
      <c r="M191" s="141"/>
      <c r="N191" s="140" t="s">
        <v>603</v>
      </c>
      <c r="O191" s="142"/>
      <c r="P191" s="142"/>
      <c r="Q191" s="141"/>
      <c r="R191" s="189">
        <f>R124/R123*100</f>
        <v>100</v>
      </c>
      <c r="S191" s="189"/>
      <c r="T191" s="63"/>
      <c r="V191" s="85"/>
      <c r="W191" s="85"/>
      <c r="X191" s="67"/>
      <c r="Y191" s="85"/>
    </row>
    <row r="192" spans="1:25" ht="34.5" customHeight="1">
      <c r="A192" s="39"/>
      <c r="B192" s="30"/>
      <c r="C192" s="30"/>
      <c r="D192" s="261" t="s">
        <v>345</v>
      </c>
      <c r="E192" s="262"/>
      <c r="F192" s="262"/>
      <c r="G192" s="262"/>
      <c r="H192" s="262"/>
      <c r="I192" s="262"/>
      <c r="J192" s="262"/>
      <c r="K192" s="263"/>
      <c r="L192" s="144" t="s">
        <v>696</v>
      </c>
      <c r="M192" s="144"/>
      <c r="N192" s="140" t="s">
        <v>603</v>
      </c>
      <c r="O192" s="142"/>
      <c r="P192" s="142"/>
      <c r="Q192" s="141"/>
      <c r="R192" s="189">
        <f>R136/R135*100</f>
        <v>100</v>
      </c>
      <c r="S192" s="189"/>
      <c r="T192" s="63"/>
      <c r="V192" s="85"/>
      <c r="W192" s="85"/>
      <c r="X192" s="67"/>
      <c r="Y192" s="85"/>
    </row>
    <row r="193" spans="1:25" ht="34.5" customHeight="1">
      <c r="A193" s="39"/>
      <c r="B193" s="30"/>
      <c r="C193" s="30"/>
      <c r="D193" s="439" t="s">
        <v>385</v>
      </c>
      <c r="E193" s="439"/>
      <c r="F193" s="439"/>
      <c r="G193" s="439"/>
      <c r="H193" s="439"/>
      <c r="I193" s="439"/>
      <c r="J193" s="439"/>
      <c r="K193" s="439"/>
      <c r="L193" s="144" t="s">
        <v>696</v>
      </c>
      <c r="M193" s="144"/>
      <c r="N193" s="144" t="s">
        <v>603</v>
      </c>
      <c r="O193" s="144"/>
      <c r="P193" s="144"/>
      <c r="Q193" s="144"/>
      <c r="R193" s="189">
        <f>R138/R137*100</f>
        <v>100</v>
      </c>
      <c r="S193" s="189"/>
      <c r="T193" s="63"/>
      <c r="V193" s="85"/>
      <c r="W193" s="85"/>
      <c r="X193" s="67"/>
      <c r="Y193" s="85"/>
    </row>
    <row r="194" spans="1:25" ht="34.5" customHeight="1">
      <c r="A194" s="39"/>
      <c r="B194" s="30"/>
      <c r="C194" s="30"/>
      <c r="D194" s="439" t="s">
        <v>386</v>
      </c>
      <c r="E194" s="439"/>
      <c r="F194" s="439"/>
      <c r="G194" s="439"/>
      <c r="H194" s="439"/>
      <c r="I194" s="439"/>
      <c r="J194" s="439"/>
      <c r="K194" s="439"/>
      <c r="L194" s="144" t="s">
        <v>696</v>
      </c>
      <c r="M194" s="144"/>
      <c r="N194" s="144" t="s">
        <v>603</v>
      </c>
      <c r="O194" s="144"/>
      <c r="P194" s="144"/>
      <c r="Q194" s="144"/>
      <c r="R194" s="189">
        <f>R140/R139*100</f>
        <v>100</v>
      </c>
      <c r="S194" s="189"/>
      <c r="T194" s="63"/>
      <c r="V194" s="85"/>
      <c r="W194" s="85"/>
      <c r="X194" s="67"/>
      <c r="Y194" s="85"/>
    </row>
    <row r="195" spans="1:25" ht="33" customHeight="1">
      <c r="A195" s="39"/>
      <c r="B195" s="30"/>
      <c r="C195" s="30"/>
      <c r="D195" s="439" t="s">
        <v>143</v>
      </c>
      <c r="E195" s="439"/>
      <c r="F195" s="439"/>
      <c r="G195" s="439"/>
      <c r="H195" s="439"/>
      <c r="I195" s="439"/>
      <c r="J195" s="439"/>
      <c r="K195" s="439"/>
      <c r="L195" s="144" t="s">
        <v>696</v>
      </c>
      <c r="M195" s="144"/>
      <c r="N195" s="144" t="s">
        <v>603</v>
      </c>
      <c r="O195" s="144"/>
      <c r="P195" s="144"/>
      <c r="Q195" s="144"/>
      <c r="R195" s="189">
        <f>R142/R141*100</f>
        <v>100</v>
      </c>
      <c r="S195" s="189"/>
      <c r="T195" s="63"/>
      <c r="V195" s="85"/>
      <c r="W195" s="85"/>
      <c r="X195" s="67"/>
      <c r="Y195" s="85"/>
    </row>
    <row r="196" spans="1:25" ht="0.75" customHeight="1" hidden="1">
      <c r="A196" s="39"/>
      <c r="B196" s="30"/>
      <c r="C196" s="30"/>
      <c r="D196" s="439" t="s">
        <v>60</v>
      </c>
      <c r="E196" s="439"/>
      <c r="F196" s="439"/>
      <c r="G196" s="439"/>
      <c r="H196" s="439"/>
      <c r="I196" s="439"/>
      <c r="J196" s="439"/>
      <c r="K196" s="439"/>
      <c r="L196" s="144" t="s">
        <v>696</v>
      </c>
      <c r="M196" s="144"/>
      <c r="N196" s="144" t="s">
        <v>603</v>
      </c>
      <c r="O196" s="144"/>
      <c r="P196" s="144"/>
      <c r="Q196" s="144"/>
      <c r="R196" s="189">
        <v>0</v>
      </c>
      <c r="S196" s="189"/>
      <c r="T196" s="63"/>
      <c r="V196" s="85"/>
      <c r="W196" s="85"/>
      <c r="X196" s="67"/>
      <c r="Y196" s="85"/>
    </row>
    <row r="197" spans="1:25" ht="33.75" customHeight="1">
      <c r="A197" s="39"/>
      <c r="B197" s="30"/>
      <c r="C197" s="30"/>
      <c r="D197" s="439" t="s">
        <v>197</v>
      </c>
      <c r="E197" s="439"/>
      <c r="F197" s="439"/>
      <c r="G197" s="439"/>
      <c r="H197" s="439"/>
      <c r="I197" s="439"/>
      <c r="J197" s="439"/>
      <c r="K197" s="439"/>
      <c r="L197" s="144" t="s">
        <v>696</v>
      </c>
      <c r="M197" s="144"/>
      <c r="N197" s="144" t="s">
        <v>603</v>
      </c>
      <c r="O197" s="144"/>
      <c r="P197" s="144"/>
      <c r="Q197" s="144"/>
      <c r="R197" s="189">
        <f>R146/R145*100</f>
        <v>100</v>
      </c>
      <c r="S197" s="189"/>
      <c r="T197" s="63"/>
      <c r="V197" s="85"/>
      <c r="W197" s="85"/>
      <c r="X197" s="67"/>
      <c r="Y197" s="85"/>
    </row>
    <row r="198" spans="1:25" ht="33.75" customHeight="1">
      <c r="A198" s="39"/>
      <c r="B198" s="39"/>
      <c r="C198" s="30"/>
      <c r="D198" s="439" t="s">
        <v>23</v>
      </c>
      <c r="E198" s="439"/>
      <c r="F198" s="439"/>
      <c r="G198" s="439"/>
      <c r="H198" s="439"/>
      <c r="I198" s="439"/>
      <c r="J198" s="439"/>
      <c r="K198" s="439"/>
      <c r="L198" s="144" t="s">
        <v>696</v>
      </c>
      <c r="M198" s="144"/>
      <c r="N198" s="144" t="s">
        <v>603</v>
      </c>
      <c r="O198" s="144"/>
      <c r="P198" s="144"/>
      <c r="Q198" s="144"/>
      <c r="R198" s="189">
        <f>R148/R147*100</f>
        <v>100</v>
      </c>
      <c r="S198" s="189"/>
      <c r="T198" s="63"/>
      <c r="V198" s="85"/>
      <c r="W198" s="85"/>
      <c r="X198" s="67"/>
      <c r="Y198" s="85"/>
    </row>
    <row r="199" spans="1:25" ht="3" customHeight="1">
      <c r="A199" s="39"/>
      <c r="B199" s="39"/>
      <c r="C199" s="39"/>
      <c r="D199" s="78"/>
      <c r="E199" s="78"/>
      <c r="F199" s="78"/>
      <c r="G199" s="78"/>
      <c r="H199" s="78"/>
      <c r="I199" s="78"/>
      <c r="J199" s="78"/>
      <c r="K199" s="78"/>
      <c r="L199" s="56"/>
      <c r="M199" s="56"/>
      <c r="N199" s="56"/>
      <c r="O199" s="56"/>
      <c r="P199" s="56"/>
      <c r="Q199" s="56"/>
      <c r="R199" s="56"/>
      <c r="S199" s="56"/>
      <c r="T199" s="63"/>
      <c r="V199" s="85"/>
      <c r="W199" s="85"/>
      <c r="X199" s="67"/>
      <c r="Y199" s="85"/>
    </row>
    <row r="200" spans="1:25" ht="31.5" customHeight="1">
      <c r="A200" s="39"/>
      <c r="B200" s="30" t="s">
        <v>683</v>
      </c>
      <c r="C200" s="30" t="s">
        <v>721</v>
      </c>
      <c r="D200" s="144" t="s">
        <v>225</v>
      </c>
      <c r="E200" s="144"/>
      <c r="F200" s="144"/>
      <c r="G200" s="144"/>
      <c r="H200" s="144"/>
      <c r="I200" s="144"/>
      <c r="J200" s="144"/>
      <c r="K200" s="144"/>
      <c r="L200" s="140" t="s">
        <v>715</v>
      </c>
      <c r="M200" s="141"/>
      <c r="N200" s="144" t="s">
        <v>687</v>
      </c>
      <c r="O200" s="144"/>
      <c r="P200" s="144"/>
      <c r="Q200" s="144"/>
      <c r="R200" s="144" t="s">
        <v>733</v>
      </c>
      <c r="S200" s="187"/>
      <c r="T200" s="63"/>
      <c r="V200" s="85"/>
      <c r="W200" s="85"/>
      <c r="X200" s="67"/>
      <c r="Y200" s="85"/>
    </row>
    <row r="201" spans="1:25" ht="16.5" customHeight="1">
      <c r="A201" s="39"/>
      <c r="B201" s="30">
        <v>1</v>
      </c>
      <c r="C201" s="30">
        <v>2</v>
      </c>
      <c r="D201" s="205">
        <v>3</v>
      </c>
      <c r="E201" s="206"/>
      <c r="F201" s="206"/>
      <c r="G201" s="206"/>
      <c r="H201" s="206"/>
      <c r="I201" s="206"/>
      <c r="J201" s="206"/>
      <c r="K201" s="207"/>
      <c r="L201" s="140">
        <v>4</v>
      </c>
      <c r="M201" s="141"/>
      <c r="N201" s="144">
        <v>5</v>
      </c>
      <c r="O201" s="144"/>
      <c r="P201" s="144"/>
      <c r="Q201" s="144"/>
      <c r="R201" s="144"/>
      <c r="S201" s="187"/>
      <c r="T201" s="63"/>
      <c r="V201" s="85"/>
      <c r="W201" s="85"/>
      <c r="X201" s="67"/>
      <c r="Y201" s="85"/>
    </row>
    <row r="202" spans="1:25" ht="19.5" customHeight="1">
      <c r="A202" s="39"/>
      <c r="B202" s="32">
        <v>1</v>
      </c>
      <c r="C202" s="32">
        <v>4016060</v>
      </c>
      <c r="D202" s="178" t="s">
        <v>717</v>
      </c>
      <c r="E202" s="179"/>
      <c r="F202" s="179"/>
      <c r="G202" s="179"/>
      <c r="H202" s="179"/>
      <c r="I202" s="179"/>
      <c r="J202" s="179"/>
      <c r="K202" s="179"/>
      <c r="L202" s="179"/>
      <c r="M202" s="179"/>
      <c r="N202" s="179"/>
      <c r="O202" s="179"/>
      <c r="P202" s="179"/>
      <c r="Q202" s="179"/>
      <c r="R202" s="179"/>
      <c r="S202" s="180"/>
      <c r="T202" s="63"/>
      <c r="V202" s="85"/>
      <c r="W202" s="85"/>
      <c r="X202" s="67"/>
      <c r="Y202" s="85"/>
    </row>
    <row r="203" spans="1:25" ht="20.25" customHeight="1">
      <c r="A203" s="39"/>
      <c r="B203" s="32"/>
      <c r="C203" s="32"/>
      <c r="D203" s="178" t="s">
        <v>98</v>
      </c>
      <c r="E203" s="179"/>
      <c r="F203" s="179"/>
      <c r="G203" s="179"/>
      <c r="H203" s="179"/>
      <c r="I203" s="179"/>
      <c r="J203" s="179"/>
      <c r="K203" s="179"/>
      <c r="L203" s="179"/>
      <c r="M203" s="179"/>
      <c r="N203" s="179"/>
      <c r="O203" s="179"/>
      <c r="P203" s="179"/>
      <c r="Q203" s="179"/>
      <c r="R203" s="179"/>
      <c r="S203" s="180"/>
      <c r="T203" s="63"/>
      <c r="V203" s="85"/>
      <c r="W203" s="85"/>
      <c r="X203" s="67"/>
      <c r="Y203" s="85"/>
    </row>
    <row r="204" spans="1:25" ht="20.25" customHeight="1">
      <c r="A204" s="39"/>
      <c r="B204" s="33"/>
      <c r="C204" s="41"/>
      <c r="D204" s="181" t="s">
        <v>688</v>
      </c>
      <c r="E204" s="182"/>
      <c r="F204" s="182"/>
      <c r="G204" s="182"/>
      <c r="H204" s="182"/>
      <c r="I204" s="182"/>
      <c r="J204" s="182"/>
      <c r="K204" s="183"/>
      <c r="L204" s="140"/>
      <c r="M204" s="141"/>
      <c r="N204" s="144"/>
      <c r="O204" s="144"/>
      <c r="P204" s="144"/>
      <c r="Q204" s="144"/>
      <c r="R204" s="144"/>
      <c r="S204" s="187"/>
      <c r="T204" s="63"/>
      <c r="V204" s="85"/>
      <c r="W204" s="85"/>
      <c r="X204" s="67"/>
      <c r="Y204" s="85"/>
    </row>
    <row r="205" spans="1:25" ht="18.75" customHeight="1">
      <c r="A205" s="39"/>
      <c r="B205" s="33"/>
      <c r="C205" s="41"/>
      <c r="D205" s="184" t="s">
        <v>589</v>
      </c>
      <c r="E205" s="185"/>
      <c r="F205" s="185"/>
      <c r="G205" s="185"/>
      <c r="H205" s="185"/>
      <c r="I205" s="185"/>
      <c r="J205" s="185"/>
      <c r="K205" s="186"/>
      <c r="L205" s="140" t="s">
        <v>690</v>
      </c>
      <c r="M205" s="141"/>
      <c r="N205" s="144" t="s">
        <v>568</v>
      </c>
      <c r="O205" s="144"/>
      <c r="P205" s="144"/>
      <c r="Q205" s="144"/>
      <c r="R205" s="196">
        <f>R206+R207+R208</f>
        <v>4469.703</v>
      </c>
      <c r="S205" s="197"/>
      <c r="T205" s="63"/>
      <c r="V205" s="85"/>
      <c r="W205" s="85"/>
      <c r="X205" s="67"/>
      <c r="Y205" s="85"/>
    </row>
    <row r="206" spans="1:25" ht="18.75" customHeight="1">
      <c r="A206" s="39"/>
      <c r="B206" s="33"/>
      <c r="C206" s="41"/>
      <c r="D206" s="161" t="s">
        <v>522</v>
      </c>
      <c r="E206" s="162"/>
      <c r="F206" s="162"/>
      <c r="G206" s="162"/>
      <c r="H206" s="162"/>
      <c r="I206" s="162"/>
      <c r="J206" s="162"/>
      <c r="K206" s="163"/>
      <c r="L206" s="140" t="s">
        <v>690</v>
      </c>
      <c r="M206" s="141"/>
      <c r="N206" s="144" t="s">
        <v>568</v>
      </c>
      <c r="O206" s="144"/>
      <c r="P206" s="144"/>
      <c r="Q206" s="144"/>
      <c r="R206" s="188">
        <f>4136.8</f>
        <v>4136.8</v>
      </c>
      <c r="S206" s="190"/>
      <c r="T206" s="63"/>
      <c r="V206" s="85"/>
      <c r="W206" s="85"/>
      <c r="X206" s="67"/>
      <c r="Y206" s="85"/>
    </row>
    <row r="207" spans="1:25" ht="18.75" customHeight="1">
      <c r="A207" s="39"/>
      <c r="B207" s="33"/>
      <c r="C207" s="41"/>
      <c r="D207" s="161" t="s">
        <v>523</v>
      </c>
      <c r="E207" s="162"/>
      <c r="F207" s="162"/>
      <c r="G207" s="162"/>
      <c r="H207" s="162"/>
      <c r="I207" s="162"/>
      <c r="J207" s="162"/>
      <c r="K207" s="163"/>
      <c r="L207" s="140" t="s">
        <v>690</v>
      </c>
      <c r="M207" s="141"/>
      <c r="N207" s="144" t="s">
        <v>568</v>
      </c>
      <c r="O207" s="144"/>
      <c r="P207" s="144"/>
      <c r="Q207" s="144"/>
      <c r="R207" s="188">
        <f>300</f>
        <v>300</v>
      </c>
      <c r="S207" s="190"/>
      <c r="T207" s="63"/>
      <c r="V207" s="85"/>
      <c r="W207" s="85"/>
      <c r="X207" s="67"/>
      <c r="Y207" s="85"/>
    </row>
    <row r="208" spans="1:25" ht="51" customHeight="1">
      <c r="A208" s="39"/>
      <c r="B208" s="33"/>
      <c r="C208" s="41"/>
      <c r="D208" s="184" t="s">
        <v>117</v>
      </c>
      <c r="E208" s="185"/>
      <c r="F208" s="185"/>
      <c r="G208" s="185"/>
      <c r="H208" s="185"/>
      <c r="I208" s="185"/>
      <c r="J208" s="185"/>
      <c r="K208" s="186"/>
      <c r="L208" s="140" t="s">
        <v>690</v>
      </c>
      <c r="M208" s="141"/>
      <c r="N208" s="144" t="s">
        <v>568</v>
      </c>
      <c r="O208" s="144"/>
      <c r="P208" s="144"/>
      <c r="Q208" s="144"/>
      <c r="R208" s="196">
        <v>32.903</v>
      </c>
      <c r="S208" s="197"/>
      <c r="T208" s="63"/>
      <c r="V208" s="85"/>
      <c r="W208" s="85"/>
      <c r="X208" s="67"/>
      <c r="Y208" s="85"/>
    </row>
    <row r="209" spans="1:25" ht="20.25" customHeight="1">
      <c r="A209" s="39"/>
      <c r="B209" s="30"/>
      <c r="C209" s="30"/>
      <c r="D209" s="181" t="s">
        <v>693</v>
      </c>
      <c r="E209" s="182"/>
      <c r="F209" s="182"/>
      <c r="G209" s="182"/>
      <c r="H209" s="182"/>
      <c r="I209" s="182"/>
      <c r="J209" s="182"/>
      <c r="K209" s="182"/>
      <c r="L209" s="140"/>
      <c r="M209" s="141"/>
      <c r="N209" s="144"/>
      <c r="O209" s="144"/>
      <c r="P209" s="144"/>
      <c r="Q209" s="144"/>
      <c r="R209" s="144"/>
      <c r="S209" s="144"/>
      <c r="T209" s="63"/>
      <c r="V209" s="85"/>
      <c r="W209" s="85"/>
      <c r="X209" s="67"/>
      <c r="Y209" s="85"/>
    </row>
    <row r="210" spans="1:25" ht="20.25" customHeight="1">
      <c r="A210" s="39"/>
      <c r="B210" s="30"/>
      <c r="C210" s="30"/>
      <c r="D210" s="184" t="s">
        <v>745</v>
      </c>
      <c r="E210" s="185"/>
      <c r="F210" s="185"/>
      <c r="G210" s="185"/>
      <c r="H210" s="185"/>
      <c r="I210" s="185"/>
      <c r="J210" s="185"/>
      <c r="K210" s="186"/>
      <c r="L210" s="140" t="s">
        <v>718</v>
      </c>
      <c r="M210" s="141"/>
      <c r="N210" s="144" t="s">
        <v>716</v>
      </c>
      <c r="O210" s="144"/>
      <c r="P210" s="144"/>
      <c r="Q210" s="144"/>
      <c r="R210" s="458">
        <v>158</v>
      </c>
      <c r="S210" s="458"/>
      <c r="T210" s="63"/>
      <c r="V210" s="85"/>
      <c r="W210" s="85"/>
      <c r="X210" s="67"/>
      <c r="Y210" s="85"/>
    </row>
    <row r="211" spans="1:25" ht="18.75" customHeight="1">
      <c r="A211" s="39"/>
      <c r="B211" s="30"/>
      <c r="C211" s="30"/>
      <c r="D211" s="184" t="s">
        <v>746</v>
      </c>
      <c r="E211" s="185"/>
      <c r="F211" s="185"/>
      <c r="G211" s="185"/>
      <c r="H211" s="185"/>
      <c r="I211" s="185"/>
      <c r="J211" s="185"/>
      <c r="K211" s="186"/>
      <c r="L211" s="140" t="s">
        <v>718</v>
      </c>
      <c r="M211" s="141"/>
      <c r="N211" s="144" t="s">
        <v>716</v>
      </c>
      <c r="O211" s="144"/>
      <c r="P211" s="144"/>
      <c r="Q211" s="144"/>
      <c r="R211" s="458">
        <v>158</v>
      </c>
      <c r="S211" s="458"/>
      <c r="T211" s="63"/>
      <c r="V211" s="85"/>
      <c r="W211" s="85"/>
      <c r="X211" s="67"/>
      <c r="Y211" s="85"/>
    </row>
    <row r="212" spans="1:29" ht="19.5" customHeight="1">
      <c r="A212" s="39"/>
      <c r="B212" s="30"/>
      <c r="C212" s="30"/>
      <c r="D212" s="161" t="s">
        <v>582</v>
      </c>
      <c r="E212" s="162"/>
      <c r="F212" s="162"/>
      <c r="G212" s="162"/>
      <c r="H212" s="162"/>
      <c r="I212" s="162"/>
      <c r="J212" s="162"/>
      <c r="K212" s="163"/>
      <c r="L212" s="140" t="s">
        <v>681</v>
      </c>
      <c r="M212" s="141"/>
      <c r="N212" s="144" t="s">
        <v>716</v>
      </c>
      <c r="O212" s="144"/>
      <c r="P212" s="144"/>
      <c r="Q212" s="144"/>
      <c r="R212" s="390">
        <v>524</v>
      </c>
      <c r="S212" s="391"/>
      <c r="T212" s="63"/>
      <c r="V212" s="85"/>
      <c r="W212" s="85"/>
      <c r="X212" s="67"/>
      <c r="Y212" s="85"/>
      <c r="AB212">
        <v>524</v>
      </c>
      <c r="AC212" t="s">
        <v>31</v>
      </c>
    </row>
    <row r="213" spans="1:25" ht="24" customHeight="1">
      <c r="A213" s="39"/>
      <c r="B213" s="30"/>
      <c r="C213" s="30"/>
      <c r="D213" s="161" t="s">
        <v>93</v>
      </c>
      <c r="E213" s="162"/>
      <c r="F213" s="162"/>
      <c r="G213" s="162"/>
      <c r="H213" s="162"/>
      <c r="I213" s="162"/>
      <c r="J213" s="162"/>
      <c r="K213" s="163"/>
      <c r="L213" s="140" t="s">
        <v>681</v>
      </c>
      <c r="M213" s="141"/>
      <c r="N213" s="140" t="s">
        <v>19</v>
      </c>
      <c r="O213" s="142"/>
      <c r="P213" s="142"/>
      <c r="Q213" s="141"/>
      <c r="R213" s="390">
        <v>524</v>
      </c>
      <c r="S213" s="391"/>
      <c r="T213" s="63"/>
      <c r="V213" s="85"/>
      <c r="W213" s="85"/>
      <c r="X213" s="67"/>
      <c r="Y213" s="85"/>
    </row>
    <row r="214" spans="1:25" ht="33.75" customHeight="1">
      <c r="A214" s="39"/>
      <c r="B214" s="30"/>
      <c r="C214" s="30"/>
      <c r="D214" s="184" t="s">
        <v>182</v>
      </c>
      <c r="E214" s="185"/>
      <c r="F214" s="185"/>
      <c r="G214" s="185"/>
      <c r="H214" s="185"/>
      <c r="I214" s="185"/>
      <c r="J214" s="185"/>
      <c r="K214" s="186"/>
      <c r="L214" s="140" t="s">
        <v>737</v>
      </c>
      <c r="M214" s="141"/>
      <c r="N214" s="144" t="s">
        <v>692</v>
      </c>
      <c r="O214" s="144"/>
      <c r="P214" s="144"/>
      <c r="Q214" s="144"/>
      <c r="R214" s="390">
        <v>12</v>
      </c>
      <c r="S214" s="391"/>
      <c r="T214" s="63"/>
      <c r="V214" s="85"/>
      <c r="W214" s="85"/>
      <c r="X214" s="67"/>
      <c r="Y214" s="85"/>
    </row>
    <row r="215" spans="1:25" ht="38.25" customHeight="1">
      <c r="A215" s="39"/>
      <c r="B215" s="30"/>
      <c r="C215" s="30"/>
      <c r="D215" s="184" t="s">
        <v>119</v>
      </c>
      <c r="E215" s="185"/>
      <c r="F215" s="185"/>
      <c r="G215" s="185"/>
      <c r="H215" s="185"/>
      <c r="I215" s="185"/>
      <c r="J215" s="185"/>
      <c r="K215" s="186"/>
      <c r="L215" s="140" t="s">
        <v>737</v>
      </c>
      <c r="M215" s="141"/>
      <c r="N215" s="144" t="s">
        <v>692</v>
      </c>
      <c r="O215" s="144"/>
      <c r="P215" s="144"/>
      <c r="Q215" s="144"/>
      <c r="R215" s="390">
        <v>12</v>
      </c>
      <c r="S215" s="391"/>
      <c r="T215" s="63"/>
      <c r="V215" s="85"/>
      <c r="W215" s="85"/>
      <c r="X215" s="67"/>
      <c r="Y215" s="85"/>
    </row>
    <row r="216" spans="1:25" ht="18.75" customHeight="1">
      <c r="A216" s="39"/>
      <c r="B216" s="30"/>
      <c r="C216" s="30"/>
      <c r="D216" s="181" t="s">
        <v>694</v>
      </c>
      <c r="E216" s="182"/>
      <c r="F216" s="182"/>
      <c r="G216" s="182"/>
      <c r="H216" s="182"/>
      <c r="I216" s="182"/>
      <c r="J216" s="182"/>
      <c r="K216" s="182"/>
      <c r="L216" s="140"/>
      <c r="M216" s="141"/>
      <c r="N216" s="144"/>
      <c r="O216" s="144"/>
      <c r="P216" s="144"/>
      <c r="Q216" s="144"/>
      <c r="R216" s="144"/>
      <c r="S216" s="144"/>
      <c r="T216" s="63"/>
      <c r="V216" s="85"/>
      <c r="W216" s="85"/>
      <c r="X216" s="67"/>
      <c r="Y216" s="85"/>
    </row>
    <row r="217" spans="1:25" ht="19.5" customHeight="1">
      <c r="A217" s="39"/>
      <c r="B217" s="30"/>
      <c r="C217" s="30"/>
      <c r="D217" s="143" t="s">
        <v>747</v>
      </c>
      <c r="E217" s="143"/>
      <c r="F217" s="143"/>
      <c r="G217" s="143"/>
      <c r="H217" s="143"/>
      <c r="I217" s="143"/>
      <c r="J217" s="143"/>
      <c r="K217" s="143"/>
      <c r="L217" s="140" t="s">
        <v>556</v>
      </c>
      <c r="M217" s="141"/>
      <c r="N217" s="140" t="s">
        <v>603</v>
      </c>
      <c r="O217" s="142"/>
      <c r="P217" s="142"/>
      <c r="Q217" s="141"/>
      <c r="R217" s="456">
        <f>R206/R211</f>
        <v>26.18227848101266</v>
      </c>
      <c r="S217" s="457"/>
      <c r="T217" s="63"/>
      <c r="V217" s="85"/>
      <c r="W217" s="85"/>
      <c r="X217" s="67"/>
      <c r="Y217" s="85"/>
    </row>
    <row r="218" spans="1:25" ht="19.5" customHeight="1">
      <c r="A218" s="39"/>
      <c r="B218" s="30"/>
      <c r="C218" s="30"/>
      <c r="D218" s="143" t="s">
        <v>583</v>
      </c>
      <c r="E218" s="143"/>
      <c r="F218" s="143"/>
      <c r="G218" s="143"/>
      <c r="H218" s="143"/>
      <c r="I218" s="143"/>
      <c r="J218" s="143"/>
      <c r="K218" s="143"/>
      <c r="L218" s="140" t="s">
        <v>695</v>
      </c>
      <c r="M218" s="141"/>
      <c r="N218" s="140" t="s">
        <v>603</v>
      </c>
      <c r="O218" s="142"/>
      <c r="P218" s="142"/>
      <c r="Q218" s="141"/>
      <c r="R218" s="133">
        <f>R207/R212*1000</f>
        <v>572.5190839694656</v>
      </c>
      <c r="S218" s="134"/>
      <c r="T218" s="63"/>
      <c r="V218" s="85"/>
      <c r="W218" s="85"/>
      <c r="X218" s="67"/>
      <c r="Y218" s="85"/>
    </row>
    <row r="219" spans="1:25" ht="21.75" customHeight="1">
      <c r="A219" s="39"/>
      <c r="B219" s="30"/>
      <c r="C219" s="30"/>
      <c r="D219" s="166" t="s">
        <v>118</v>
      </c>
      <c r="E219" s="167"/>
      <c r="F219" s="167"/>
      <c r="G219" s="167"/>
      <c r="H219" s="167"/>
      <c r="I219" s="167"/>
      <c r="J219" s="167"/>
      <c r="K219" s="168"/>
      <c r="L219" s="140" t="s">
        <v>695</v>
      </c>
      <c r="M219" s="141"/>
      <c r="N219" s="140" t="s">
        <v>603</v>
      </c>
      <c r="O219" s="142"/>
      <c r="P219" s="142"/>
      <c r="Q219" s="141"/>
      <c r="R219" s="133">
        <f>R208/R215*1000</f>
        <v>2741.9166666666665</v>
      </c>
      <c r="S219" s="134"/>
      <c r="T219" s="63"/>
      <c r="V219" s="85"/>
      <c r="W219" s="85"/>
      <c r="X219" s="67"/>
      <c r="Y219" s="85"/>
    </row>
    <row r="220" spans="1:25" ht="18" customHeight="1">
      <c r="A220" s="39"/>
      <c r="B220" s="30"/>
      <c r="C220" s="30"/>
      <c r="D220" s="181" t="s">
        <v>697</v>
      </c>
      <c r="E220" s="182"/>
      <c r="F220" s="182"/>
      <c r="G220" s="182"/>
      <c r="H220" s="182"/>
      <c r="I220" s="182"/>
      <c r="J220" s="182"/>
      <c r="K220" s="182"/>
      <c r="L220" s="140"/>
      <c r="M220" s="141"/>
      <c r="N220" s="144"/>
      <c r="O220" s="144"/>
      <c r="P220" s="144"/>
      <c r="Q220" s="144"/>
      <c r="R220" s="144"/>
      <c r="S220" s="144"/>
      <c r="T220" s="63"/>
      <c r="V220" s="85"/>
      <c r="W220" s="85"/>
      <c r="X220" s="67"/>
      <c r="Y220" s="85"/>
    </row>
    <row r="221" spans="1:25" ht="36.75" customHeight="1">
      <c r="A221" s="39"/>
      <c r="B221" s="30"/>
      <c r="C221" s="30"/>
      <c r="D221" s="184" t="s">
        <v>757</v>
      </c>
      <c r="E221" s="185"/>
      <c r="F221" s="185"/>
      <c r="G221" s="185"/>
      <c r="H221" s="185"/>
      <c r="I221" s="185"/>
      <c r="J221" s="185"/>
      <c r="K221" s="186"/>
      <c r="L221" s="144" t="s">
        <v>696</v>
      </c>
      <c r="M221" s="144"/>
      <c r="N221" s="140" t="s">
        <v>603</v>
      </c>
      <c r="O221" s="142"/>
      <c r="P221" s="142"/>
      <c r="Q221" s="141"/>
      <c r="R221" s="189">
        <v>100</v>
      </c>
      <c r="S221" s="189"/>
      <c r="T221" s="63"/>
      <c r="V221" s="85"/>
      <c r="W221" s="85"/>
      <c r="X221" s="67"/>
      <c r="Y221" s="85"/>
    </row>
    <row r="222" spans="1:25" ht="33.75" customHeight="1">
      <c r="A222" s="39"/>
      <c r="B222" s="30"/>
      <c r="C222" s="30"/>
      <c r="D222" s="192" t="s">
        <v>38</v>
      </c>
      <c r="E222" s="192"/>
      <c r="F222" s="192"/>
      <c r="G222" s="192"/>
      <c r="H222" s="192"/>
      <c r="I222" s="192"/>
      <c r="J222" s="192"/>
      <c r="K222" s="192"/>
      <c r="L222" s="144" t="s">
        <v>696</v>
      </c>
      <c r="M222" s="144"/>
      <c r="N222" s="144" t="s">
        <v>603</v>
      </c>
      <c r="O222" s="144"/>
      <c r="P222" s="144"/>
      <c r="Q222" s="144"/>
      <c r="R222" s="189">
        <v>100</v>
      </c>
      <c r="S222" s="189"/>
      <c r="T222" s="63"/>
      <c r="V222" s="85"/>
      <c r="W222" s="85"/>
      <c r="X222" s="67"/>
      <c r="Y222" s="85"/>
    </row>
    <row r="223" spans="1:25" ht="33.75" customHeight="1">
      <c r="A223" s="39"/>
      <c r="B223" s="30"/>
      <c r="C223" s="30"/>
      <c r="D223" s="192" t="s">
        <v>120</v>
      </c>
      <c r="E223" s="192"/>
      <c r="F223" s="192"/>
      <c r="G223" s="192"/>
      <c r="H223" s="192"/>
      <c r="I223" s="192"/>
      <c r="J223" s="192"/>
      <c r="K223" s="192"/>
      <c r="L223" s="144" t="s">
        <v>696</v>
      </c>
      <c r="M223" s="144"/>
      <c r="N223" s="144" t="s">
        <v>603</v>
      </c>
      <c r="O223" s="144"/>
      <c r="P223" s="144"/>
      <c r="Q223" s="144"/>
      <c r="R223" s="189">
        <f>R215/R214*100</f>
        <v>100</v>
      </c>
      <c r="S223" s="189"/>
      <c r="T223" s="63"/>
      <c r="V223" s="85"/>
      <c r="W223" s="85"/>
      <c r="X223" s="67"/>
      <c r="Y223" s="85"/>
    </row>
    <row r="224" spans="1:25" ht="1.5" customHeight="1">
      <c r="A224" s="39"/>
      <c r="B224" s="39"/>
      <c r="C224" s="39"/>
      <c r="D224" s="66"/>
      <c r="E224" s="66"/>
      <c r="F224" s="66"/>
      <c r="G224" s="66"/>
      <c r="H224" s="66"/>
      <c r="I224" s="66"/>
      <c r="J224" s="66"/>
      <c r="K224" s="66"/>
      <c r="L224" s="56"/>
      <c r="M224" s="56"/>
      <c r="N224" s="56"/>
      <c r="O224" s="56"/>
      <c r="P224" s="56"/>
      <c r="Q224" s="56"/>
      <c r="R224" s="56"/>
      <c r="S224" s="56"/>
      <c r="T224" s="63"/>
      <c r="V224" s="83"/>
      <c r="W224" s="83"/>
      <c r="X224" s="84"/>
      <c r="Y224" s="83"/>
    </row>
    <row r="225" spans="1:25" ht="32.25" customHeight="1">
      <c r="A225" s="39"/>
      <c r="B225" s="30" t="s">
        <v>683</v>
      </c>
      <c r="C225" s="30" t="s">
        <v>721</v>
      </c>
      <c r="D225" s="144" t="s">
        <v>225</v>
      </c>
      <c r="E225" s="144"/>
      <c r="F225" s="144"/>
      <c r="G225" s="144"/>
      <c r="H225" s="144"/>
      <c r="I225" s="144"/>
      <c r="J225" s="144"/>
      <c r="K225" s="144"/>
      <c r="L225" s="140" t="s">
        <v>715</v>
      </c>
      <c r="M225" s="141"/>
      <c r="N225" s="144" t="s">
        <v>687</v>
      </c>
      <c r="O225" s="144"/>
      <c r="P225" s="144"/>
      <c r="Q225" s="144"/>
      <c r="R225" s="144" t="s">
        <v>733</v>
      </c>
      <c r="S225" s="187"/>
      <c r="T225" s="63"/>
      <c r="V225" s="83"/>
      <c r="W225" s="83"/>
      <c r="X225" s="84"/>
      <c r="Y225" s="83"/>
    </row>
    <row r="226" spans="1:25" ht="15.75">
      <c r="A226" s="39"/>
      <c r="B226" s="30">
        <v>1</v>
      </c>
      <c r="C226" s="30">
        <v>2</v>
      </c>
      <c r="D226" s="205">
        <v>3</v>
      </c>
      <c r="E226" s="206"/>
      <c r="F226" s="206"/>
      <c r="G226" s="206"/>
      <c r="H226" s="206"/>
      <c r="I226" s="206"/>
      <c r="J226" s="206"/>
      <c r="K226" s="207"/>
      <c r="L226" s="140">
        <v>4</v>
      </c>
      <c r="M226" s="141"/>
      <c r="N226" s="144">
        <v>5</v>
      </c>
      <c r="O226" s="144"/>
      <c r="P226" s="144"/>
      <c r="Q226" s="144"/>
      <c r="R226" s="144">
        <v>6</v>
      </c>
      <c r="S226" s="187"/>
      <c r="T226" s="63"/>
      <c r="V226" s="83"/>
      <c r="W226" s="83"/>
      <c r="X226" s="84"/>
      <c r="Y226" s="83"/>
    </row>
    <row r="227" spans="1:25" ht="19.5" customHeight="1">
      <c r="A227" s="39"/>
      <c r="B227" s="32">
        <v>1</v>
      </c>
      <c r="C227" s="32">
        <v>4016060</v>
      </c>
      <c r="D227" s="178" t="s">
        <v>717</v>
      </c>
      <c r="E227" s="179"/>
      <c r="F227" s="179"/>
      <c r="G227" s="179"/>
      <c r="H227" s="179"/>
      <c r="I227" s="179"/>
      <c r="J227" s="179"/>
      <c r="K227" s="179"/>
      <c r="L227" s="179"/>
      <c r="M227" s="179"/>
      <c r="N227" s="179"/>
      <c r="O227" s="179"/>
      <c r="P227" s="179"/>
      <c r="Q227" s="179"/>
      <c r="R227" s="179"/>
      <c r="S227" s="180"/>
      <c r="T227" s="63"/>
      <c r="V227" s="83"/>
      <c r="W227" s="83"/>
      <c r="X227" s="84"/>
      <c r="Y227" s="83"/>
    </row>
    <row r="228" spans="1:25" ht="18.75" customHeight="1">
      <c r="A228" s="39"/>
      <c r="B228" s="32"/>
      <c r="C228" s="32"/>
      <c r="D228" s="178" t="s">
        <v>97</v>
      </c>
      <c r="E228" s="179"/>
      <c r="F228" s="179"/>
      <c r="G228" s="179"/>
      <c r="H228" s="179"/>
      <c r="I228" s="179"/>
      <c r="J228" s="179"/>
      <c r="K228" s="179"/>
      <c r="L228" s="179"/>
      <c r="M228" s="179"/>
      <c r="N228" s="179"/>
      <c r="O228" s="179"/>
      <c r="P228" s="179"/>
      <c r="Q228" s="179"/>
      <c r="R228" s="179"/>
      <c r="S228" s="180"/>
      <c r="T228" s="63"/>
      <c r="V228" s="83"/>
      <c r="W228" s="83"/>
      <c r="X228" s="84"/>
      <c r="Y228" s="83"/>
    </row>
    <row r="229" spans="1:25" ht="18.75" customHeight="1">
      <c r="A229" s="39"/>
      <c r="B229" s="33"/>
      <c r="C229" s="41"/>
      <c r="D229" s="181" t="s">
        <v>688</v>
      </c>
      <c r="E229" s="182"/>
      <c r="F229" s="182"/>
      <c r="G229" s="182"/>
      <c r="H229" s="182"/>
      <c r="I229" s="182"/>
      <c r="J229" s="182"/>
      <c r="K229" s="183"/>
      <c r="L229" s="140"/>
      <c r="M229" s="141"/>
      <c r="N229" s="144"/>
      <c r="O229" s="144"/>
      <c r="P229" s="144"/>
      <c r="Q229" s="144"/>
      <c r="R229" s="144"/>
      <c r="S229" s="187"/>
      <c r="T229" s="63"/>
      <c r="V229" s="83"/>
      <c r="W229" s="83"/>
      <c r="X229" s="84"/>
      <c r="Y229" s="83"/>
    </row>
    <row r="230" spans="1:25" ht="18" customHeight="1">
      <c r="A230" s="39"/>
      <c r="B230" s="30"/>
      <c r="C230" s="30"/>
      <c r="D230" s="184" t="s">
        <v>589</v>
      </c>
      <c r="E230" s="185"/>
      <c r="F230" s="185"/>
      <c r="G230" s="185"/>
      <c r="H230" s="185"/>
      <c r="I230" s="185"/>
      <c r="J230" s="185"/>
      <c r="K230" s="186"/>
      <c r="L230" s="140" t="s">
        <v>690</v>
      </c>
      <c r="M230" s="141"/>
      <c r="N230" s="144" t="s">
        <v>568</v>
      </c>
      <c r="O230" s="144"/>
      <c r="P230" s="144"/>
      <c r="Q230" s="144"/>
      <c r="R230" s="188">
        <f>SUM(R231:S239)</f>
        <v>21750.104</v>
      </c>
      <c r="S230" s="190"/>
      <c r="T230" s="63"/>
      <c r="V230" s="83"/>
      <c r="W230" s="83"/>
      <c r="X230" s="84"/>
      <c r="Y230" s="83"/>
    </row>
    <row r="231" spans="1:25" ht="27" customHeight="1">
      <c r="A231" s="39"/>
      <c r="B231" s="30"/>
      <c r="C231" s="30"/>
      <c r="D231" s="161" t="s">
        <v>524</v>
      </c>
      <c r="E231" s="162"/>
      <c r="F231" s="162"/>
      <c r="G231" s="162"/>
      <c r="H231" s="162"/>
      <c r="I231" s="162"/>
      <c r="J231" s="162"/>
      <c r="K231" s="163"/>
      <c r="L231" s="140" t="s">
        <v>690</v>
      </c>
      <c r="M231" s="141"/>
      <c r="N231" s="144" t="s">
        <v>568</v>
      </c>
      <c r="O231" s="144"/>
      <c r="P231" s="144"/>
      <c r="Q231" s="144"/>
      <c r="R231" s="295">
        <f>4201.3+797.3</f>
        <v>4998.6</v>
      </c>
      <c r="S231" s="296"/>
      <c r="T231" s="63"/>
      <c r="V231" s="83"/>
      <c r="W231" s="83"/>
      <c r="X231" s="84"/>
      <c r="Y231" s="83"/>
    </row>
    <row r="232" spans="1:25" ht="18" customHeight="1">
      <c r="A232" s="39"/>
      <c r="B232" s="30"/>
      <c r="C232" s="30"/>
      <c r="D232" s="161" t="s">
        <v>526</v>
      </c>
      <c r="E232" s="162"/>
      <c r="F232" s="162"/>
      <c r="G232" s="162"/>
      <c r="H232" s="162"/>
      <c r="I232" s="162"/>
      <c r="J232" s="162"/>
      <c r="K232" s="163"/>
      <c r="L232" s="140" t="s">
        <v>690</v>
      </c>
      <c r="M232" s="141"/>
      <c r="N232" s="144" t="s">
        <v>568</v>
      </c>
      <c r="O232" s="144"/>
      <c r="P232" s="144"/>
      <c r="Q232" s="144"/>
      <c r="R232" s="295">
        <f>9000+3541.504</f>
        <v>12541.504</v>
      </c>
      <c r="S232" s="296"/>
      <c r="T232" s="63"/>
      <c r="V232" s="83"/>
      <c r="W232" s="83"/>
      <c r="X232" s="84"/>
      <c r="Y232" s="83"/>
    </row>
    <row r="233" spans="1:25" ht="36" customHeight="1">
      <c r="A233" s="39"/>
      <c r="B233" s="30"/>
      <c r="C233" s="30"/>
      <c r="D233" s="161" t="s">
        <v>292</v>
      </c>
      <c r="E233" s="162"/>
      <c r="F233" s="162"/>
      <c r="G233" s="162"/>
      <c r="H233" s="162"/>
      <c r="I233" s="162"/>
      <c r="J233" s="162"/>
      <c r="K233" s="163"/>
      <c r="L233" s="140" t="s">
        <v>690</v>
      </c>
      <c r="M233" s="141"/>
      <c r="N233" s="144" t="s">
        <v>568</v>
      </c>
      <c r="O233" s="144"/>
      <c r="P233" s="144"/>
      <c r="Q233" s="144"/>
      <c r="R233" s="295">
        <f>2000-2000+200</f>
        <v>200</v>
      </c>
      <c r="S233" s="296"/>
      <c r="T233" s="63"/>
      <c r="V233" s="83"/>
      <c r="W233" s="83"/>
      <c r="X233" s="84"/>
      <c r="Y233" s="83"/>
    </row>
    <row r="234" spans="1:25" ht="20.25" customHeight="1">
      <c r="A234" s="39"/>
      <c r="B234" s="30"/>
      <c r="C234" s="30"/>
      <c r="D234" s="161" t="s">
        <v>144</v>
      </c>
      <c r="E234" s="162"/>
      <c r="F234" s="162"/>
      <c r="G234" s="162"/>
      <c r="H234" s="162"/>
      <c r="I234" s="162"/>
      <c r="J234" s="162"/>
      <c r="K234" s="163"/>
      <c r="L234" s="140" t="s">
        <v>690</v>
      </c>
      <c r="M234" s="141"/>
      <c r="N234" s="144" t="s">
        <v>568</v>
      </c>
      <c r="O234" s="144"/>
      <c r="P234" s="144"/>
      <c r="Q234" s="144"/>
      <c r="R234" s="295">
        <f>200</f>
        <v>200</v>
      </c>
      <c r="S234" s="296"/>
      <c r="T234" s="63"/>
      <c r="V234" s="83"/>
      <c r="W234" s="83"/>
      <c r="X234" s="84"/>
      <c r="Y234" s="83"/>
    </row>
    <row r="235" spans="1:25" ht="17.25" customHeight="1">
      <c r="A235" s="39"/>
      <c r="B235" s="30"/>
      <c r="C235" s="30"/>
      <c r="D235" s="161" t="s">
        <v>145</v>
      </c>
      <c r="E235" s="162"/>
      <c r="F235" s="162"/>
      <c r="G235" s="162"/>
      <c r="H235" s="162"/>
      <c r="I235" s="162"/>
      <c r="J235" s="162"/>
      <c r="K235" s="163"/>
      <c r="L235" s="140" t="s">
        <v>690</v>
      </c>
      <c r="M235" s="141"/>
      <c r="N235" s="144" t="s">
        <v>568</v>
      </c>
      <c r="O235" s="144"/>
      <c r="P235" s="144"/>
      <c r="Q235" s="144"/>
      <c r="R235" s="295">
        <v>200</v>
      </c>
      <c r="S235" s="296"/>
      <c r="T235" s="63"/>
      <c r="V235" s="83"/>
      <c r="W235" s="83"/>
      <c r="X235" s="84"/>
      <c r="Y235" s="83"/>
    </row>
    <row r="236" spans="1:25" ht="21" customHeight="1">
      <c r="A236" s="39"/>
      <c r="B236" s="30"/>
      <c r="C236" s="30"/>
      <c r="D236" s="161" t="s">
        <v>527</v>
      </c>
      <c r="E236" s="162"/>
      <c r="F236" s="162"/>
      <c r="G236" s="162"/>
      <c r="H236" s="162"/>
      <c r="I236" s="162"/>
      <c r="J236" s="162"/>
      <c r="K236" s="163"/>
      <c r="L236" s="140" t="s">
        <v>690</v>
      </c>
      <c r="M236" s="141"/>
      <c r="N236" s="144" t="s">
        <v>568</v>
      </c>
      <c r="O236" s="144"/>
      <c r="P236" s="144"/>
      <c r="Q236" s="144"/>
      <c r="R236" s="295">
        <f>1700+150</f>
        <v>1850</v>
      </c>
      <c r="S236" s="296"/>
      <c r="T236" s="63"/>
      <c r="V236" s="83"/>
      <c r="W236" s="83"/>
      <c r="X236" s="84"/>
      <c r="Y236" s="83"/>
    </row>
    <row r="237" spans="1:25" ht="69.75" customHeight="1">
      <c r="A237" s="39"/>
      <c r="B237" s="30"/>
      <c r="C237" s="30"/>
      <c r="D237" s="292" t="s">
        <v>121</v>
      </c>
      <c r="E237" s="293"/>
      <c r="F237" s="293"/>
      <c r="G237" s="293"/>
      <c r="H237" s="293"/>
      <c r="I237" s="293"/>
      <c r="J237" s="293"/>
      <c r="K237" s="294"/>
      <c r="L237" s="140" t="s">
        <v>690</v>
      </c>
      <c r="M237" s="141"/>
      <c r="N237" s="144" t="s">
        <v>568</v>
      </c>
      <c r="O237" s="144"/>
      <c r="P237" s="144"/>
      <c r="Q237" s="144"/>
      <c r="R237" s="295">
        <f>1100+300</f>
        <v>1400</v>
      </c>
      <c r="S237" s="296"/>
      <c r="T237" s="63"/>
      <c r="V237" s="83"/>
      <c r="W237" s="83"/>
      <c r="X237" s="84"/>
      <c r="Y237" s="83"/>
    </row>
    <row r="238" spans="1:25" ht="21.75" customHeight="1">
      <c r="A238" s="39"/>
      <c r="B238" s="30"/>
      <c r="C238" s="30"/>
      <c r="D238" s="292" t="s">
        <v>122</v>
      </c>
      <c r="E238" s="293"/>
      <c r="F238" s="293"/>
      <c r="G238" s="293"/>
      <c r="H238" s="293"/>
      <c r="I238" s="293"/>
      <c r="J238" s="293"/>
      <c r="K238" s="294"/>
      <c r="L238" s="140" t="s">
        <v>690</v>
      </c>
      <c r="M238" s="141"/>
      <c r="N238" s="144" t="s">
        <v>568</v>
      </c>
      <c r="O238" s="144"/>
      <c r="P238" s="144"/>
      <c r="Q238" s="144"/>
      <c r="R238" s="295">
        <v>160</v>
      </c>
      <c r="S238" s="296"/>
      <c r="T238" s="63"/>
      <c r="V238" s="83"/>
      <c r="W238" s="83"/>
      <c r="X238" s="84"/>
      <c r="Y238" s="83"/>
    </row>
    <row r="239" spans="1:25" ht="36" customHeight="1">
      <c r="A239" s="39"/>
      <c r="B239" s="30"/>
      <c r="C239" s="30"/>
      <c r="D239" s="337" t="s">
        <v>131</v>
      </c>
      <c r="E239" s="376"/>
      <c r="F239" s="376"/>
      <c r="G239" s="376"/>
      <c r="H239" s="376"/>
      <c r="I239" s="376"/>
      <c r="J239" s="376"/>
      <c r="K239" s="377"/>
      <c r="L239" s="140" t="s">
        <v>690</v>
      </c>
      <c r="M239" s="141"/>
      <c r="N239" s="144" t="s">
        <v>568</v>
      </c>
      <c r="O239" s="144"/>
      <c r="P239" s="144"/>
      <c r="Q239" s="144"/>
      <c r="R239" s="295">
        <v>200</v>
      </c>
      <c r="S239" s="296"/>
      <c r="T239" s="63"/>
      <c r="V239" s="83"/>
      <c r="W239" s="83"/>
      <c r="X239" s="84"/>
      <c r="Y239" s="83"/>
    </row>
    <row r="240" spans="1:25" ht="20.25" customHeight="1">
      <c r="A240" s="39"/>
      <c r="B240" s="30"/>
      <c r="C240" s="30"/>
      <c r="D240" s="181" t="s">
        <v>693</v>
      </c>
      <c r="E240" s="182"/>
      <c r="F240" s="182"/>
      <c r="G240" s="182"/>
      <c r="H240" s="182"/>
      <c r="I240" s="182"/>
      <c r="J240" s="182"/>
      <c r="K240" s="182"/>
      <c r="L240" s="347"/>
      <c r="M240" s="348"/>
      <c r="N240" s="144"/>
      <c r="O240" s="144"/>
      <c r="P240" s="144"/>
      <c r="Q240" s="144"/>
      <c r="R240" s="144"/>
      <c r="S240" s="144"/>
      <c r="T240" s="63"/>
      <c r="V240" s="83"/>
      <c r="W240" s="83"/>
      <c r="X240" s="84"/>
      <c r="Y240" s="83"/>
    </row>
    <row r="241" spans="1:25" ht="21" customHeight="1">
      <c r="A241" s="39"/>
      <c r="B241" s="30"/>
      <c r="C241" s="30"/>
      <c r="D241" s="184" t="s">
        <v>581</v>
      </c>
      <c r="E241" s="185"/>
      <c r="F241" s="185"/>
      <c r="G241" s="185"/>
      <c r="H241" s="185"/>
      <c r="I241" s="185"/>
      <c r="J241" s="185"/>
      <c r="K241" s="186"/>
      <c r="L241" s="347" t="s">
        <v>580</v>
      </c>
      <c r="M241" s="348"/>
      <c r="N241" s="144" t="s">
        <v>698</v>
      </c>
      <c r="O241" s="144"/>
      <c r="P241" s="144"/>
      <c r="Q241" s="144"/>
      <c r="R241" s="423">
        <v>5726.238</v>
      </c>
      <c r="S241" s="423"/>
      <c r="T241" s="63"/>
      <c r="V241" s="83"/>
      <c r="W241" s="83"/>
      <c r="X241" s="84"/>
      <c r="Y241" s="83"/>
    </row>
    <row r="242" spans="1:25" ht="38.25" customHeight="1">
      <c r="A242" s="39"/>
      <c r="B242" s="30"/>
      <c r="C242" s="30"/>
      <c r="D242" s="440" t="s">
        <v>95</v>
      </c>
      <c r="E242" s="440"/>
      <c r="F242" s="440"/>
      <c r="G242" s="440"/>
      <c r="H242" s="440"/>
      <c r="I242" s="440"/>
      <c r="J242" s="440"/>
      <c r="K242" s="440"/>
      <c r="L242" s="347" t="s">
        <v>737</v>
      </c>
      <c r="M242" s="348"/>
      <c r="N242" s="140" t="s">
        <v>719</v>
      </c>
      <c r="O242" s="142"/>
      <c r="P242" s="142"/>
      <c r="Q242" s="141"/>
      <c r="R242" s="380">
        <v>12412</v>
      </c>
      <c r="S242" s="381"/>
      <c r="T242" s="63"/>
      <c r="V242" s="83"/>
      <c r="W242" s="83"/>
      <c r="X242" s="84"/>
      <c r="Y242" s="83"/>
    </row>
    <row r="243" spans="1:25" ht="36.75" customHeight="1">
      <c r="A243" s="39"/>
      <c r="B243" s="30"/>
      <c r="C243" s="30"/>
      <c r="D243" s="440" t="s">
        <v>507</v>
      </c>
      <c r="E243" s="440"/>
      <c r="F243" s="440"/>
      <c r="G243" s="440"/>
      <c r="H243" s="440"/>
      <c r="I243" s="440"/>
      <c r="J243" s="440"/>
      <c r="K243" s="440"/>
      <c r="L243" s="347" t="s">
        <v>737</v>
      </c>
      <c r="M243" s="348"/>
      <c r="N243" s="140" t="s">
        <v>719</v>
      </c>
      <c r="O243" s="142"/>
      <c r="P243" s="142"/>
      <c r="Q243" s="141"/>
      <c r="R243" s="452">
        <v>12412</v>
      </c>
      <c r="S243" s="452"/>
      <c r="T243" s="63"/>
      <c r="V243" s="83"/>
      <c r="W243" s="83"/>
      <c r="X243" s="84"/>
      <c r="Y243" s="83"/>
    </row>
    <row r="244" spans="1:25" ht="21" customHeight="1">
      <c r="A244" s="39"/>
      <c r="B244" s="30"/>
      <c r="C244" s="30"/>
      <c r="D244" s="184" t="s">
        <v>94</v>
      </c>
      <c r="E244" s="185"/>
      <c r="F244" s="185"/>
      <c r="G244" s="185"/>
      <c r="H244" s="185"/>
      <c r="I244" s="185"/>
      <c r="J244" s="185"/>
      <c r="K244" s="186"/>
      <c r="L244" s="347" t="s">
        <v>737</v>
      </c>
      <c r="M244" s="348"/>
      <c r="N244" s="144" t="s">
        <v>776</v>
      </c>
      <c r="O244" s="144"/>
      <c r="P244" s="144"/>
      <c r="Q244" s="144"/>
      <c r="R244" s="380">
        <f>7947-3719</f>
        <v>4228</v>
      </c>
      <c r="S244" s="381"/>
      <c r="T244" s="63"/>
      <c r="V244" s="83"/>
      <c r="W244" s="83"/>
      <c r="X244" s="84"/>
      <c r="Y244" s="83"/>
    </row>
    <row r="245" spans="1:25" ht="21" customHeight="1">
      <c r="A245" s="39"/>
      <c r="B245" s="30"/>
      <c r="C245" s="30"/>
      <c r="D245" s="292" t="s">
        <v>293</v>
      </c>
      <c r="E245" s="293"/>
      <c r="F245" s="293"/>
      <c r="G245" s="293"/>
      <c r="H245" s="293"/>
      <c r="I245" s="293"/>
      <c r="J245" s="293"/>
      <c r="K245" s="294"/>
      <c r="L245" s="347" t="s">
        <v>737</v>
      </c>
      <c r="M245" s="348"/>
      <c r="N245" s="144" t="s">
        <v>698</v>
      </c>
      <c r="O245" s="144"/>
      <c r="P245" s="144"/>
      <c r="Q245" s="144"/>
      <c r="R245" s="380">
        <f>1000-1000+71</f>
        <v>71</v>
      </c>
      <c r="S245" s="381"/>
      <c r="T245" s="63"/>
      <c r="V245" s="83"/>
      <c r="W245" s="83"/>
      <c r="X245" s="84"/>
      <c r="Y245" s="83"/>
    </row>
    <row r="246" spans="1:25" ht="21" customHeight="1">
      <c r="A246" s="39"/>
      <c r="B246" s="30"/>
      <c r="C246" s="30"/>
      <c r="D246" s="161" t="s">
        <v>371</v>
      </c>
      <c r="E246" s="162"/>
      <c r="F246" s="162"/>
      <c r="G246" s="162"/>
      <c r="H246" s="162"/>
      <c r="I246" s="162"/>
      <c r="J246" s="162"/>
      <c r="K246" s="163"/>
      <c r="L246" s="347" t="s">
        <v>737</v>
      </c>
      <c r="M246" s="348"/>
      <c r="N246" s="144" t="s">
        <v>698</v>
      </c>
      <c r="O246" s="144"/>
      <c r="P246" s="144"/>
      <c r="Q246" s="144"/>
      <c r="R246" s="380">
        <f>1000-1000+71</f>
        <v>71</v>
      </c>
      <c r="S246" s="381"/>
      <c r="T246" s="63"/>
      <c r="V246" s="83"/>
      <c r="W246" s="83"/>
      <c r="X246" s="84"/>
      <c r="Y246" s="83"/>
    </row>
    <row r="247" spans="1:25" ht="21" customHeight="1">
      <c r="A247" s="39"/>
      <c r="B247" s="30"/>
      <c r="C247" s="30"/>
      <c r="D247" s="453" t="s">
        <v>146</v>
      </c>
      <c r="E247" s="453"/>
      <c r="F247" s="453"/>
      <c r="G247" s="453"/>
      <c r="H247" s="453"/>
      <c r="I247" s="453"/>
      <c r="J247" s="453"/>
      <c r="K247" s="453"/>
      <c r="L247" s="441" t="s">
        <v>737</v>
      </c>
      <c r="M247" s="442"/>
      <c r="N247" s="144" t="s">
        <v>776</v>
      </c>
      <c r="O247" s="144"/>
      <c r="P247" s="144"/>
      <c r="Q247" s="144"/>
      <c r="R247" s="380">
        <v>3719</v>
      </c>
      <c r="S247" s="381"/>
      <c r="T247" s="63"/>
      <c r="V247" s="83"/>
      <c r="W247" s="83"/>
      <c r="X247" s="84"/>
      <c r="Y247" s="83"/>
    </row>
    <row r="248" spans="1:25" ht="21" customHeight="1">
      <c r="A248" s="39"/>
      <c r="B248" s="30"/>
      <c r="C248" s="30"/>
      <c r="D248" s="161" t="s">
        <v>148</v>
      </c>
      <c r="E248" s="162"/>
      <c r="F248" s="162"/>
      <c r="G248" s="162"/>
      <c r="H248" s="162"/>
      <c r="I248" s="162"/>
      <c r="J248" s="162"/>
      <c r="K248" s="163"/>
      <c r="L248" s="441" t="s">
        <v>737</v>
      </c>
      <c r="M248" s="442"/>
      <c r="N248" s="144" t="s">
        <v>776</v>
      </c>
      <c r="O248" s="144"/>
      <c r="P248" s="144"/>
      <c r="Q248" s="144"/>
      <c r="R248" s="380">
        <v>3719</v>
      </c>
      <c r="S248" s="381"/>
      <c r="T248" s="63"/>
      <c r="V248" s="83"/>
      <c r="W248" s="83"/>
      <c r="X248" s="84"/>
      <c r="Y248" s="83"/>
    </row>
    <row r="249" spans="1:25" ht="21" customHeight="1">
      <c r="A249" s="39"/>
      <c r="B249" s="30"/>
      <c r="C249" s="30"/>
      <c r="D249" s="453" t="s">
        <v>147</v>
      </c>
      <c r="E249" s="453"/>
      <c r="F249" s="453"/>
      <c r="G249" s="453"/>
      <c r="H249" s="453"/>
      <c r="I249" s="453"/>
      <c r="J249" s="453"/>
      <c r="K249" s="453"/>
      <c r="L249" s="441" t="s">
        <v>517</v>
      </c>
      <c r="M249" s="442"/>
      <c r="N249" s="144" t="s">
        <v>776</v>
      </c>
      <c r="O249" s="144"/>
      <c r="P249" s="144"/>
      <c r="Q249" s="144"/>
      <c r="R249" s="454">
        <v>9.56</v>
      </c>
      <c r="S249" s="455"/>
      <c r="T249" s="63"/>
      <c r="V249" s="83"/>
      <c r="W249" s="83"/>
      <c r="X249" s="84"/>
      <c r="Y249" s="83"/>
    </row>
    <row r="250" spans="1:25" ht="21" customHeight="1">
      <c r="A250" s="39"/>
      <c r="B250" s="30"/>
      <c r="C250" s="30"/>
      <c r="D250" s="161" t="s">
        <v>149</v>
      </c>
      <c r="E250" s="162"/>
      <c r="F250" s="162"/>
      <c r="G250" s="162"/>
      <c r="H250" s="162"/>
      <c r="I250" s="162"/>
      <c r="J250" s="162"/>
      <c r="K250" s="163"/>
      <c r="L250" s="441" t="s">
        <v>517</v>
      </c>
      <c r="M250" s="442"/>
      <c r="N250" s="144" t="s">
        <v>776</v>
      </c>
      <c r="O250" s="144"/>
      <c r="P250" s="144"/>
      <c r="Q250" s="144"/>
      <c r="R250" s="454">
        <v>9.56</v>
      </c>
      <c r="S250" s="455"/>
      <c r="T250" s="63"/>
      <c r="V250" s="83"/>
      <c r="W250" s="83"/>
      <c r="X250" s="84"/>
      <c r="Y250" s="83"/>
    </row>
    <row r="251" spans="1:25" ht="21" customHeight="1">
      <c r="A251" s="39"/>
      <c r="B251" s="30"/>
      <c r="C251" s="30"/>
      <c r="D251" s="440" t="s">
        <v>755</v>
      </c>
      <c r="E251" s="440"/>
      <c r="F251" s="440"/>
      <c r="G251" s="440"/>
      <c r="H251" s="440"/>
      <c r="I251" s="440"/>
      <c r="J251" s="440"/>
      <c r="K251" s="440"/>
      <c r="L251" s="347" t="s">
        <v>737</v>
      </c>
      <c r="M251" s="348"/>
      <c r="N251" s="282" t="s">
        <v>777</v>
      </c>
      <c r="O251" s="282"/>
      <c r="P251" s="282"/>
      <c r="Q251" s="282"/>
      <c r="R251" s="382">
        <v>267</v>
      </c>
      <c r="S251" s="383"/>
      <c r="T251" s="63"/>
      <c r="V251" s="83"/>
      <c r="W251" s="83"/>
      <c r="X251" s="84"/>
      <c r="Y251" s="83"/>
    </row>
    <row r="252" spans="1:25" ht="21" customHeight="1">
      <c r="A252" s="39"/>
      <c r="B252" s="30"/>
      <c r="C252" s="30"/>
      <c r="D252" s="337" t="s">
        <v>754</v>
      </c>
      <c r="E252" s="376"/>
      <c r="F252" s="376"/>
      <c r="G252" s="376"/>
      <c r="H252" s="376"/>
      <c r="I252" s="376"/>
      <c r="J252" s="376"/>
      <c r="K252" s="377"/>
      <c r="L252" s="347" t="s">
        <v>737</v>
      </c>
      <c r="M252" s="348"/>
      <c r="N252" s="144" t="s">
        <v>691</v>
      </c>
      <c r="O252" s="144"/>
      <c r="P252" s="144"/>
      <c r="Q252" s="144"/>
      <c r="R252" s="382">
        <v>267</v>
      </c>
      <c r="S252" s="383"/>
      <c r="T252" s="63"/>
      <c r="V252" s="83"/>
      <c r="W252" s="83"/>
      <c r="X252" s="84"/>
      <c r="Y252" s="83"/>
    </row>
    <row r="253" spans="1:25" ht="35.25" customHeight="1">
      <c r="A253" s="39"/>
      <c r="B253" s="30"/>
      <c r="C253" s="30"/>
      <c r="D253" s="443" t="s">
        <v>125</v>
      </c>
      <c r="E253" s="444"/>
      <c r="F253" s="444"/>
      <c r="G253" s="444"/>
      <c r="H253" s="444"/>
      <c r="I253" s="444"/>
      <c r="J253" s="444"/>
      <c r="K253" s="445"/>
      <c r="L253" s="347" t="s">
        <v>737</v>
      </c>
      <c r="M253" s="348"/>
      <c r="N253" s="169" t="s">
        <v>349</v>
      </c>
      <c r="O253" s="169"/>
      <c r="P253" s="169"/>
      <c r="Q253" s="169"/>
      <c r="R253" s="314">
        <f>42+3</f>
        <v>45</v>
      </c>
      <c r="S253" s="315"/>
      <c r="T253" s="63"/>
      <c r="V253" s="83"/>
      <c r="W253" s="83"/>
      <c r="X253" s="84"/>
      <c r="Y253" s="83"/>
    </row>
    <row r="254" spans="1:25" ht="35.25" customHeight="1">
      <c r="A254" s="39"/>
      <c r="B254" s="30"/>
      <c r="C254" s="30"/>
      <c r="D254" s="292" t="s">
        <v>126</v>
      </c>
      <c r="E254" s="293"/>
      <c r="F254" s="293"/>
      <c r="G254" s="293"/>
      <c r="H254" s="293"/>
      <c r="I254" s="293"/>
      <c r="J254" s="293"/>
      <c r="K254" s="294"/>
      <c r="L254" s="347" t="s">
        <v>737</v>
      </c>
      <c r="M254" s="348"/>
      <c r="N254" s="169" t="s">
        <v>349</v>
      </c>
      <c r="O254" s="169"/>
      <c r="P254" s="169"/>
      <c r="Q254" s="169"/>
      <c r="R254" s="314">
        <f>42+3</f>
        <v>45</v>
      </c>
      <c r="S254" s="315"/>
      <c r="T254" s="63"/>
      <c r="V254" s="83"/>
      <c r="W254" s="83"/>
      <c r="X254" s="84"/>
      <c r="Y254" s="83"/>
    </row>
    <row r="255" spans="1:25" ht="34.5" customHeight="1">
      <c r="A255" s="39"/>
      <c r="B255" s="30"/>
      <c r="C255" s="30"/>
      <c r="D255" s="292" t="s">
        <v>123</v>
      </c>
      <c r="E255" s="293"/>
      <c r="F255" s="293"/>
      <c r="G255" s="293"/>
      <c r="H255" s="293"/>
      <c r="I255" s="293"/>
      <c r="J255" s="293"/>
      <c r="K255" s="294"/>
      <c r="L255" s="347" t="s">
        <v>681</v>
      </c>
      <c r="M255" s="348"/>
      <c r="N255" s="274" t="s">
        <v>369</v>
      </c>
      <c r="O255" s="275"/>
      <c r="P255" s="275"/>
      <c r="Q255" s="276"/>
      <c r="R255" s="314">
        <v>4</v>
      </c>
      <c r="S255" s="315"/>
      <c r="T255" s="63"/>
      <c r="V255" s="83"/>
      <c r="W255" s="83"/>
      <c r="X255" s="84"/>
      <c r="Y255" s="83"/>
    </row>
    <row r="256" spans="1:25" ht="36" customHeight="1">
      <c r="A256" s="39"/>
      <c r="B256" s="30"/>
      <c r="C256" s="30"/>
      <c r="D256" s="292" t="s">
        <v>124</v>
      </c>
      <c r="E256" s="293"/>
      <c r="F256" s="293"/>
      <c r="G256" s="293"/>
      <c r="H256" s="293"/>
      <c r="I256" s="293"/>
      <c r="J256" s="293"/>
      <c r="K256" s="294"/>
      <c r="L256" s="347" t="s">
        <v>681</v>
      </c>
      <c r="M256" s="348"/>
      <c r="N256" s="274" t="s">
        <v>369</v>
      </c>
      <c r="O256" s="275"/>
      <c r="P256" s="275"/>
      <c r="Q256" s="276"/>
      <c r="R256" s="314">
        <v>4</v>
      </c>
      <c r="S256" s="315"/>
      <c r="T256" s="63"/>
      <c r="V256" s="83"/>
      <c r="W256" s="83"/>
      <c r="X256" s="84"/>
      <c r="Y256" s="83"/>
    </row>
    <row r="257" spans="1:25" ht="36" customHeight="1">
      <c r="A257" s="39"/>
      <c r="B257" s="30"/>
      <c r="C257" s="30"/>
      <c r="D257" s="337" t="s">
        <v>132</v>
      </c>
      <c r="E257" s="376"/>
      <c r="F257" s="376"/>
      <c r="G257" s="376"/>
      <c r="H257" s="376"/>
      <c r="I257" s="376"/>
      <c r="J257" s="376"/>
      <c r="K257" s="377"/>
      <c r="L257" s="441" t="s">
        <v>737</v>
      </c>
      <c r="M257" s="442"/>
      <c r="N257" s="144" t="s">
        <v>691</v>
      </c>
      <c r="O257" s="144"/>
      <c r="P257" s="144"/>
      <c r="Q257" s="144"/>
      <c r="R257" s="314">
        <v>3</v>
      </c>
      <c r="S257" s="315"/>
      <c r="T257" s="63"/>
      <c r="V257" s="83"/>
      <c r="W257" s="83"/>
      <c r="X257" s="84"/>
      <c r="Y257" s="83"/>
    </row>
    <row r="258" spans="1:25" ht="19.5" customHeight="1">
      <c r="A258" s="39"/>
      <c r="B258" s="30"/>
      <c r="C258" s="30"/>
      <c r="D258" s="181" t="s">
        <v>694</v>
      </c>
      <c r="E258" s="182"/>
      <c r="F258" s="182"/>
      <c r="G258" s="182"/>
      <c r="H258" s="182"/>
      <c r="I258" s="182"/>
      <c r="J258" s="182"/>
      <c r="K258" s="182"/>
      <c r="L258" s="347"/>
      <c r="M258" s="348"/>
      <c r="N258" s="144"/>
      <c r="O258" s="144"/>
      <c r="P258" s="144"/>
      <c r="Q258" s="144"/>
      <c r="R258" s="144" t="s">
        <v>711</v>
      </c>
      <c r="S258" s="144"/>
      <c r="T258" s="63"/>
      <c r="V258" s="83"/>
      <c r="W258" s="83"/>
      <c r="X258" s="84"/>
      <c r="Y258" s="83"/>
    </row>
    <row r="259" spans="1:25" ht="21.75" customHeight="1">
      <c r="A259" s="39"/>
      <c r="B259" s="30"/>
      <c r="C259" s="30"/>
      <c r="D259" s="261" t="s">
        <v>354</v>
      </c>
      <c r="E259" s="262"/>
      <c r="F259" s="262"/>
      <c r="G259" s="262"/>
      <c r="H259" s="262"/>
      <c r="I259" s="262"/>
      <c r="J259" s="262"/>
      <c r="K259" s="263"/>
      <c r="L259" s="347" t="s">
        <v>695</v>
      </c>
      <c r="M259" s="348"/>
      <c r="N259" s="140" t="s">
        <v>603</v>
      </c>
      <c r="O259" s="142"/>
      <c r="P259" s="142"/>
      <c r="Q259" s="141"/>
      <c r="R259" s="295">
        <f>R231/R243*1000</f>
        <v>402.7231711247181</v>
      </c>
      <c r="S259" s="296"/>
      <c r="T259" s="63"/>
      <c r="V259" s="83"/>
      <c r="W259" s="83"/>
      <c r="X259" s="84"/>
      <c r="Y259" s="83"/>
    </row>
    <row r="260" spans="1:25" ht="24" customHeight="1">
      <c r="A260" s="39"/>
      <c r="B260" s="30"/>
      <c r="C260" s="30"/>
      <c r="D260" s="449" t="s">
        <v>353</v>
      </c>
      <c r="E260" s="450"/>
      <c r="F260" s="450"/>
      <c r="G260" s="450"/>
      <c r="H260" s="450"/>
      <c r="I260" s="450"/>
      <c r="J260" s="450"/>
      <c r="K260" s="451"/>
      <c r="L260" s="347" t="s">
        <v>695</v>
      </c>
      <c r="M260" s="348"/>
      <c r="N260" s="140" t="s">
        <v>603</v>
      </c>
      <c r="O260" s="142"/>
      <c r="P260" s="142"/>
      <c r="Q260" s="141"/>
      <c r="R260" s="295">
        <f>R233/R246*1000</f>
        <v>2816.901408450704</v>
      </c>
      <c r="S260" s="296"/>
      <c r="T260" s="63"/>
      <c r="V260" s="83"/>
      <c r="W260" s="83"/>
      <c r="X260" s="84"/>
      <c r="Y260" s="83"/>
    </row>
    <row r="261" spans="1:25" ht="18.75" customHeight="1">
      <c r="A261" s="39"/>
      <c r="B261" s="30"/>
      <c r="C261" s="30"/>
      <c r="D261" s="261" t="s">
        <v>150</v>
      </c>
      <c r="E261" s="262"/>
      <c r="F261" s="262"/>
      <c r="G261" s="262"/>
      <c r="H261" s="262"/>
      <c r="I261" s="262"/>
      <c r="J261" s="262"/>
      <c r="K261" s="263"/>
      <c r="L261" s="347" t="s">
        <v>695</v>
      </c>
      <c r="M261" s="348"/>
      <c r="N261" s="140" t="s">
        <v>603</v>
      </c>
      <c r="O261" s="142"/>
      <c r="P261" s="142"/>
      <c r="Q261" s="141"/>
      <c r="R261" s="295">
        <f>R234/R248*1000</f>
        <v>53.77789728421619</v>
      </c>
      <c r="S261" s="296"/>
      <c r="T261" s="63"/>
      <c r="V261" s="83"/>
      <c r="W261" s="83"/>
      <c r="X261" s="84"/>
      <c r="Y261" s="83"/>
    </row>
    <row r="262" spans="1:25" ht="18.75" customHeight="1">
      <c r="A262" s="39"/>
      <c r="B262" s="30"/>
      <c r="C262" s="30"/>
      <c r="D262" s="261" t="s">
        <v>151</v>
      </c>
      <c r="E262" s="262"/>
      <c r="F262" s="262"/>
      <c r="G262" s="262"/>
      <c r="H262" s="262"/>
      <c r="I262" s="262"/>
      <c r="J262" s="262"/>
      <c r="K262" s="263"/>
      <c r="L262" s="347" t="s">
        <v>695</v>
      </c>
      <c r="M262" s="348"/>
      <c r="N262" s="140" t="s">
        <v>603</v>
      </c>
      <c r="O262" s="142"/>
      <c r="P262" s="142"/>
      <c r="Q262" s="141"/>
      <c r="R262" s="295">
        <f>R235/R250*1000</f>
        <v>20920.502092050207</v>
      </c>
      <c r="S262" s="296"/>
      <c r="T262" s="63"/>
      <c r="V262" s="83"/>
      <c r="W262" s="83"/>
      <c r="X262" s="84"/>
      <c r="Y262" s="83"/>
    </row>
    <row r="263" spans="1:25" ht="52.5" customHeight="1">
      <c r="A263" s="39"/>
      <c r="B263" s="30"/>
      <c r="C263" s="30"/>
      <c r="D263" s="446" t="s">
        <v>753</v>
      </c>
      <c r="E263" s="447"/>
      <c r="F263" s="447"/>
      <c r="G263" s="447"/>
      <c r="H263" s="447"/>
      <c r="I263" s="447"/>
      <c r="J263" s="447"/>
      <c r="K263" s="448"/>
      <c r="L263" s="347" t="s">
        <v>695</v>
      </c>
      <c r="M263" s="348"/>
      <c r="N263" s="140" t="s">
        <v>603</v>
      </c>
      <c r="O263" s="142"/>
      <c r="P263" s="142"/>
      <c r="Q263" s="141"/>
      <c r="R263" s="295">
        <f>R236/R252*1000</f>
        <v>6928.838951310861</v>
      </c>
      <c r="S263" s="296"/>
      <c r="T263" s="63"/>
      <c r="V263" s="83"/>
      <c r="W263" s="83"/>
      <c r="X263" s="67"/>
      <c r="Y263" s="83"/>
    </row>
    <row r="264" spans="1:25" ht="18" customHeight="1">
      <c r="A264" s="39"/>
      <c r="B264" s="30"/>
      <c r="C264" s="30"/>
      <c r="D264" s="143" t="s">
        <v>234</v>
      </c>
      <c r="E264" s="143"/>
      <c r="F264" s="143"/>
      <c r="G264" s="143"/>
      <c r="H264" s="143"/>
      <c r="I264" s="143"/>
      <c r="J264" s="143"/>
      <c r="K264" s="143"/>
      <c r="L264" s="347" t="s">
        <v>695</v>
      </c>
      <c r="M264" s="348"/>
      <c r="N264" s="140" t="s">
        <v>603</v>
      </c>
      <c r="O264" s="142"/>
      <c r="P264" s="142"/>
      <c r="Q264" s="141"/>
      <c r="R264" s="295">
        <f>R232/R241</f>
        <v>2.1901821055988244</v>
      </c>
      <c r="S264" s="296"/>
      <c r="T264" s="63"/>
      <c r="V264" s="83"/>
      <c r="W264" s="83"/>
      <c r="X264" s="84"/>
      <c r="Y264" s="83"/>
    </row>
    <row r="265" spans="1:25" ht="19.5" customHeight="1">
      <c r="A265" s="39"/>
      <c r="B265" s="30"/>
      <c r="C265" s="30"/>
      <c r="D265" s="261" t="s">
        <v>127</v>
      </c>
      <c r="E265" s="262"/>
      <c r="F265" s="262"/>
      <c r="G265" s="262"/>
      <c r="H265" s="262"/>
      <c r="I265" s="262"/>
      <c r="J265" s="262"/>
      <c r="K265" s="263"/>
      <c r="L265" s="347" t="s">
        <v>690</v>
      </c>
      <c r="M265" s="348"/>
      <c r="N265" s="140" t="s">
        <v>603</v>
      </c>
      <c r="O265" s="142"/>
      <c r="P265" s="142"/>
      <c r="Q265" s="141"/>
      <c r="R265" s="295">
        <f>R237/R254</f>
        <v>31.11111111111111</v>
      </c>
      <c r="S265" s="296"/>
      <c r="T265" s="63"/>
      <c r="V265" s="83"/>
      <c r="W265" s="83"/>
      <c r="X265" s="84"/>
      <c r="Y265" s="83"/>
    </row>
    <row r="266" spans="1:25" ht="36.75" customHeight="1">
      <c r="A266" s="39"/>
      <c r="B266" s="30"/>
      <c r="C266" s="30"/>
      <c r="D266" s="261" t="s">
        <v>128</v>
      </c>
      <c r="E266" s="262"/>
      <c r="F266" s="262"/>
      <c r="G266" s="262"/>
      <c r="H266" s="262"/>
      <c r="I266" s="262"/>
      <c r="J266" s="262"/>
      <c r="K266" s="263"/>
      <c r="L266" s="347" t="s">
        <v>690</v>
      </c>
      <c r="M266" s="348"/>
      <c r="N266" s="140" t="s">
        <v>603</v>
      </c>
      <c r="O266" s="142"/>
      <c r="P266" s="142"/>
      <c r="Q266" s="141"/>
      <c r="R266" s="295">
        <f>R238/R255</f>
        <v>40</v>
      </c>
      <c r="S266" s="296"/>
      <c r="T266" s="63"/>
      <c r="V266" s="83"/>
      <c r="W266" s="83"/>
      <c r="X266" s="84"/>
      <c r="Y266" s="83"/>
    </row>
    <row r="267" spans="1:25" ht="36.75" customHeight="1">
      <c r="A267" s="39"/>
      <c r="B267" s="30"/>
      <c r="C267" s="30"/>
      <c r="D267" s="166" t="s">
        <v>133</v>
      </c>
      <c r="E267" s="167"/>
      <c r="F267" s="167"/>
      <c r="G267" s="167"/>
      <c r="H267" s="167"/>
      <c r="I267" s="167"/>
      <c r="J267" s="167"/>
      <c r="K267" s="168"/>
      <c r="L267" s="347" t="s">
        <v>690</v>
      </c>
      <c r="M267" s="348"/>
      <c r="N267" s="140" t="s">
        <v>603</v>
      </c>
      <c r="O267" s="142"/>
      <c r="P267" s="142"/>
      <c r="Q267" s="141"/>
      <c r="R267" s="295">
        <f>R239/R257</f>
        <v>66.66666666666667</v>
      </c>
      <c r="S267" s="296"/>
      <c r="T267" s="63"/>
      <c r="V267" s="83"/>
      <c r="W267" s="83"/>
      <c r="X267" s="84"/>
      <c r="Y267" s="83"/>
    </row>
    <row r="268" spans="1:25" ht="18.75" customHeight="1">
      <c r="A268" s="39"/>
      <c r="B268" s="30"/>
      <c r="C268" s="30"/>
      <c r="D268" s="181" t="s">
        <v>697</v>
      </c>
      <c r="E268" s="182"/>
      <c r="F268" s="182"/>
      <c r="G268" s="182"/>
      <c r="H268" s="182"/>
      <c r="I268" s="182"/>
      <c r="J268" s="182"/>
      <c r="K268" s="182"/>
      <c r="L268" s="347"/>
      <c r="M268" s="348"/>
      <c r="N268" s="144"/>
      <c r="O268" s="144"/>
      <c r="P268" s="144"/>
      <c r="Q268" s="144"/>
      <c r="R268" s="144"/>
      <c r="S268" s="144"/>
      <c r="T268" s="63"/>
      <c r="V268" s="83"/>
      <c r="W268" s="83"/>
      <c r="X268" s="84"/>
      <c r="Y268" s="83"/>
    </row>
    <row r="269" spans="1:25" ht="36.75" customHeight="1">
      <c r="A269" s="39"/>
      <c r="B269" s="30"/>
      <c r="C269" s="30"/>
      <c r="D269" s="184" t="s">
        <v>579</v>
      </c>
      <c r="E269" s="185"/>
      <c r="F269" s="185"/>
      <c r="G269" s="185"/>
      <c r="H269" s="185"/>
      <c r="I269" s="185"/>
      <c r="J269" s="185"/>
      <c r="K269" s="186"/>
      <c r="L269" s="359" t="s">
        <v>696</v>
      </c>
      <c r="M269" s="359"/>
      <c r="N269" s="140" t="s">
        <v>603</v>
      </c>
      <c r="O269" s="142"/>
      <c r="P269" s="142"/>
      <c r="Q269" s="141"/>
      <c r="R269" s="189">
        <f>(R244+R245+R247)/R242*100</f>
        <v>64.5987753786658</v>
      </c>
      <c r="S269" s="189"/>
      <c r="T269" s="63"/>
      <c r="V269" s="83"/>
      <c r="W269" s="83"/>
      <c r="X269" s="84"/>
      <c r="Y269" s="83"/>
    </row>
    <row r="270" spans="1:25" ht="36.75" customHeight="1">
      <c r="A270" s="39"/>
      <c r="B270" s="30"/>
      <c r="C270" s="30"/>
      <c r="D270" s="184" t="s">
        <v>588</v>
      </c>
      <c r="E270" s="185"/>
      <c r="F270" s="185"/>
      <c r="G270" s="185"/>
      <c r="H270" s="185"/>
      <c r="I270" s="185"/>
      <c r="J270" s="185"/>
      <c r="K270" s="186"/>
      <c r="L270" s="359" t="s">
        <v>696</v>
      </c>
      <c r="M270" s="359"/>
      <c r="N270" s="140" t="s">
        <v>603</v>
      </c>
      <c r="O270" s="142"/>
      <c r="P270" s="142"/>
      <c r="Q270" s="141"/>
      <c r="R270" s="189">
        <f>R231/3387.5*100</f>
        <v>147.56014760147602</v>
      </c>
      <c r="S270" s="189"/>
      <c r="T270" s="63"/>
      <c r="V270" s="83"/>
      <c r="W270" s="83"/>
      <c r="X270" s="84"/>
      <c r="Y270" s="83"/>
    </row>
    <row r="271" spans="1:25" ht="36.75" customHeight="1">
      <c r="A271" s="39"/>
      <c r="B271" s="30"/>
      <c r="C271" s="30"/>
      <c r="D271" s="184" t="s">
        <v>355</v>
      </c>
      <c r="E271" s="185"/>
      <c r="F271" s="185"/>
      <c r="G271" s="185"/>
      <c r="H271" s="185"/>
      <c r="I271" s="185"/>
      <c r="J271" s="185"/>
      <c r="K271" s="186"/>
      <c r="L271" s="359" t="s">
        <v>696</v>
      </c>
      <c r="M271" s="359"/>
      <c r="N271" s="140" t="s">
        <v>603</v>
      </c>
      <c r="O271" s="142"/>
      <c r="P271" s="142"/>
      <c r="Q271" s="141"/>
      <c r="R271" s="189">
        <f>R246/R245*100</f>
        <v>100</v>
      </c>
      <c r="S271" s="189"/>
      <c r="T271" s="63"/>
      <c r="V271" s="83"/>
      <c r="W271" s="83"/>
      <c r="X271" s="84"/>
      <c r="Y271" s="83"/>
    </row>
    <row r="272" spans="1:25" ht="35.25" customHeight="1">
      <c r="A272" s="39"/>
      <c r="B272" s="30"/>
      <c r="C272" s="30"/>
      <c r="D272" s="184" t="s">
        <v>152</v>
      </c>
      <c r="E272" s="185"/>
      <c r="F272" s="185"/>
      <c r="G272" s="185"/>
      <c r="H272" s="185"/>
      <c r="I272" s="185"/>
      <c r="J272" s="185"/>
      <c r="K272" s="186"/>
      <c r="L272" s="359" t="s">
        <v>696</v>
      </c>
      <c r="M272" s="359"/>
      <c r="N272" s="140" t="s">
        <v>603</v>
      </c>
      <c r="O272" s="142"/>
      <c r="P272" s="142"/>
      <c r="Q272" s="141"/>
      <c r="R272" s="133">
        <f>R248/R247*100</f>
        <v>100</v>
      </c>
      <c r="S272" s="134"/>
      <c r="T272" s="63"/>
      <c r="V272" s="83"/>
      <c r="W272" s="83"/>
      <c r="X272" s="84"/>
      <c r="Y272" s="83"/>
    </row>
    <row r="273" spans="1:25" ht="33.75" customHeight="1">
      <c r="A273" s="39"/>
      <c r="B273" s="30"/>
      <c r="C273" s="30"/>
      <c r="D273" s="394" t="s">
        <v>153</v>
      </c>
      <c r="E273" s="394"/>
      <c r="F273" s="394"/>
      <c r="G273" s="394"/>
      <c r="H273" s="394"/>
      <c r="I273" s="394"/>
      <c r="J273" s="394"/>
      <c r="K273" s="394"/>
      <c r="L273" s="359" t="s">
        <v>696</v>
      </c>
      <c r="M273" s="359"/>
      <c r="N273" s="144" t="s">
        <v>603</v>
      </c>
      <c r="O273" s="144"/>
      <c r="P273" s="144"/>
      <c r="Q273" s="144"/>
      <c r="R273" s="189">
        <f>R250/R249*100</f>
        <v>100</v>
      </c>
      <c r="S273" s="189"/>
      <c r="T273" s="63"/>
      <c r="V273" s="83"/>
      <c r="W273" s="83"/>
      <c r="X273" s="84"/>
      <c r="Y273" s="83"/>
    </row>
    <row r="274" spans="1:25" ht="34.5" customHeight="1">
      <c r="A274" s="39"/>
      <c r="B274" s="30"/>
      <c r="C274" s="30"/>
      <c r="D274" s="394" t="s">
        <v>96</v>
      </c>
      <c r="E274" s="394"/>
      <c r="F274" s="394"/>
      <c r="G274" s="394"/>
      <c r="H274" s="394"/>
      <c r="I274" s="394"/>
      <c r="J274" s="394"/>
      <c r="K274" s="394"/>
      <c r="L274" s="359" t="s">
        <v>696</v>
      </c>
      <c r="M274" s="359"/>
      <c r="N274" s="144" t="s">
        <v>603</v>
      </c>
      <c r="O274" s="144"/>
      <c r="P274" s="144"/>
      <c r="Q274" s="144"/>
      <c r="R274" s="189">
        <f>R252/R251*100</f>
        <v>100</v>
      </c>
      <c r="S274" s="189"/>
      <c r="T274" s="63"/>
      <c r="V274" s="83"/>
      <c r="W274" s="83"/>
      <c r="X274" s="84"/>
      <c r="Y274" s="83"/>
    </row>
    <row r="275" spans="1:25" ht="34.5" customHeight="1">
      <c r="A275" s="39"/>
      <c r="B275" s="30"/>
      <c r="C275" s="30"/>
      <c r="D275" s="394" t="s">
        <v>279</v>
      </c>
      <c r="E275" s="394"/>
      <c r="F275" s="394"/>
      <c r="G275" s="394"/>
      <c r="H275" s="394"/>
      <c r="I275" s="394"/>
      <c r="J275" s="394"/>
      <c r="K275" s="394"/>
      <c r="L275" s="359" t="s">
        <v>696</v>
      </c>
      <c r="M275" s="359"/>
      <c r="N275" s="144" t="s">
        <v>603</v>
      </c>
      <c r="O275" s="144"/>
      <c r="P275" s="144"/>
      <c r="Q275" s="144"/>
      <c r="R275" s="189">
        <f>R254/R253*100</f>
        <v>100</v>
      </c>
      <c r="S275" s="189"/>
      <c r="T275" s="63"/>
      <c r="V275" s="83"/>
      <c r="W275" s="83"/>
      <c r="X275" s="84"/>
      <c r="Y275" s="83"/>
    </row>
    <row r="276" spans="1:25" ht="34.5" customHeight="1">
      <c r="A276" s="39"/>
      <c r="B276" s="30"/>
      <c r="C276" s="30"/>
      <c r="D276" s="394" t="s">
        <v>356</v>
      </c>
      <c r="E276" s="394"/>
      <c r="F276" s="394"/>
      <c r="G276" s="394"/>
      <c r="H276" s="394"/>
      <c r="I276" s="394"/>
      <c r="J276" s="394"/>
      <c r="K276" s="394"/>
      <c r="L276" s="359" t="s">
        <v>696</v>
      </c>
      <c r="M276" s="359"/>
      <c r="N276" s="144" t="s">
        <v>603</v>
      </c>
      <c r="O276" s="144"/>
      <c r="P276" s="144"/>
      <c r="Q276" s="144"/>
      <c r="R276" s="189">
        <f>R256/R255*100</f>
        <v>100</v>
      </c>
      <c r="S276" s="189"/>
      <c r="T276" s="63"/>
      <c r="V276" s="83"/>
      <c r="W276" s="83"/>
      <c r="X276" s="84"/>
      <c r="Y276" s="83"/>
    </row>
    <row r="277" spans="1:25" ht="9.75" customHeight="1">
      <c r="A277" s="39"/>
      <c r="B277" s="39"/>
      <c r="C277" s="39"/>
      <c r="D277" s="66"/>
      <c r="E277" s="66"/>
      <c r="F277" s="66"/>
      <c r="G277" s="66"/>
      <c r="H277" s="66"/>
      <c r="I277" s="66"/>
      <c r="J277" s="66"/>
      <c r="K277" s="66"/>
      <c r="L277" s="56"/>
      <c r="M277" s="56"/>
      <c r="N277" s="56"/>
      <c r="O277" s="56"/>
      <c r="P277" s="56"/>
      <c r="Q277" s="56"/>
      <c r="R277" s="56"/>
      <c r="S277" s="56"/>
      <c r="T277" s="63"/>
      <c r="V277" s="83"/>
      <c r="W277" s="83"/>
      <c r="X277" s="84"/>
      <c r="Y277" s="83"/>
    </row>
    <row r="278" spans="1:25" ht="33.75" customHeight="1">
      <c r="A278" s="39"/>
      <c r="B278" s="30" t="s">
        <v>683</v>
      </c>
      <c r="C278" s="30" t="s">
        <v>721</v>
      </c>
      <c r="D278" s="144" t="s">
        <v>225</v>
      </c>
      <c r="E278" s="144"/>
      <c r="F278" s="144"/>
      <c r="G278" s="144"/>
      <c r="H278" s="144"/>
      <c r="I278" s="144"/>
      <c r="J278" s="144"/>
      <c r="K278" s="144"/>
      <c r="L278" s="140" t="s">
        <v>715</v>
      </c>
      <c r="M278" s="141"/>
      <c r="N278" s="144" t="s">
        <v>687</v>
      </c>
      <c r="O278" s="144"/>
      <c r="P278" s="144"/>
      <c r="Q278" s="144"/>
      <c r="R278" s="144" t="s">
        <v>733</v>
      </c>
      <c r="S278" s="187"/>
      <c r="T278" s="63"/>
      <c r="V278" s="83"/>
      <c r="W278" s="83"/>
      <c r="X278" s="84"/>
      <c r="Y278" s="83"/>
    </row>
    <row r="279" spans="1:25" ht="15.75" customHeight="1">
      <c r="A279" s="39"/>
      <c r="B279" s="30">
        <v>1</v>
      </c>
      <c r="C279" s="30">
        <v>2</v>
      </c>
      <c r="D279" s="205">
        <v>3</v>
      </c>
      <c r="E279" s="206"/>
      <c r="F279" s="206"/>
      <c r="G279" s="206"/>
      <c r="H279" s="206"/>
      <c r="I279" s="206"/>
      <c r="J279" s="206"/>
      <c r="K279" s="207"/>
      <c r="L279" s="140">
        <v>4</v>
      </c>
      <c r="M279" s="141"/>
      <c r="N279" s="144">
        <v>5</v>
      </c>
      <c r="O279" s="144"/>
      <c r="P279" s="144"/>
      <c r="Q279" s="144"/>
      <c r="R279" s="144">
        <v>6</v>
      </c>
      <c r="S279" s="187"/>
      <c r="T279" s="63"/>
      <c r="V279" s="83"/>
      <c r="W279" s="83"/>
      <c r="X279" s="84"/>
      <c r="Y279" s="83"/>
    </row>
    <row r="280" spans="1:25" ht="20.25" customHeight="1">
      <c r="A280" s="39"/>
      <c r="B280" s="32">
        <v>1</v>
      </c>
      <c r="C280" s="32">
        <v>4016060</v>
      </c>
      <c r="D280" s="178" t="s">
        <v>717</v>
      </c>
      <c r="E280" s="179"/>
      <c r="F280" s="179"/>
      <c r="G280" s="179"/>
      <c r="H280" s="179"/>
      <c r="I280" s="179"/>
      <c r="J280" s="179"/>
      <c r="K280" s="179"/>
      <c r="L280" s="179"/>
      <c r="M280" s="179"/>
      <c r="N280" s="179"/>
      <c r="O280" s="179"/>
      <c r="P280" s="179"/>
      <c r="Q280" s="179"/>
      <c r="R280" s="179"/>
      <c r="S280" s="180"/>
      <c r="T280" s="63"/>
      <c r="V280" s="83"/>
      <c r="W280" s="83"/>
      <c r="X280" s="84"/>
      <c r="Y280" s="83"/>
    </row>
    <row r="281" spans="1:25" ht="20.25" customHeight="1">
      <c r="A281" s="39"/>
      <c r="B281" s="32"/>
      <c r="C281" s="32"/>
      <c r="D281" s="178" t="s">
        <v>649</v>
      </c>
      <c r="E281" s="179"/>
      <c r="F281" s="179"/>
      <c r="G281" s="179"/>
      <c r="H281" s="179"/>
      <c r="I281" s="179"/>
      <c r="J281" s="179"/>
      <c r="K281" s="179"/>
      <c r="L281" s="179"/>
      <c r="M281" s="179"/>
      <c r="N281" s="179"/>
      <c r="O281" s="179"/>
      <c r="P281" s="179"/>
      <c r="Q281" s="179"/>
      <c r="R281" s="179"/>
      <c r="S281" s="180"/>
      <c r="T281" s="63"/>
      <c r="V281" s="83"/>
      <c r="W281" s="83"/>
      <c r="X281" s="84"/>
      <c r="Y281" s="83"/>
    </row>
    <row r="282" spans="1:25" ht="19.5" customHeight="1">
      <c r="A282" s="39"/>
      <c r="B282" s="33"/>
      <c r="C282" s="41"/>
      <c r="D282" s="181" t="s">
        <v>688</v>
      </c>
      <c r="E282" s="182"/>
      <c r="F282" s="182"/>
      <c r="G282" s="182"/>
      <c r="H282" s="182"/>
      <c r="I282" s="182"/>
      <c r="J282" s="182"/>
      <c r="K282" s="183"/>
      <c r="L282" s="140"/>
      <c r="M282" s="141"/>
      <c r="N282" s="144"/>
      <c r="O282" s="144"/>
      <c r="P282" s="144"/>
      <c r="Q282" s="144"/>
      <c r="R282" s="144"/>
      <c r="S282" s="187"/>
      <c r="T282" s="63"/>
      <c r="V282" s="83"/>
      <c r="W282" s="83"/>
      <c r="X282" s="84"/>
      <c r="Y282" s="83"/>
    </row>
    <row r="283" spans="1:25" ht="19.5" customHeight="1">
      <c r="A283" s="39"/>
      <c r="B283" s="30"/>
      <c r="C283" s="30"/>
      <c r="D283" s="161" t="s">
        <v>589</v>
      </c>
      <c r="E283" s="162"/>
      <c r="F283" s="162"/>
      <c r="G283" s="162"/>
      <c r="H283" s="162"/>
      <c r="I283" s="162"/>
      <c r="J283" s="162"/>
      <c r="K283" s="163"/>
      <c r="L283" s="140" t="s">
        <v>690</v>
      </c>
      <c r="M283" s="141"/>
      <c r="N283" s="361" t="s">
        <v>568</v>
      </c>
      <c r="O283" s="362"/>
      <c r="P283" s="362"/>
      <c r="Q283" s="363"/>
      <c r="R283" s="188">
        <f>SUM(R284:S289)</f>
        <v>1977.09998</v>
      </c>
      <c r="S283" s="190"/>
      <c r="T283" s="63"/>
      <c r="V283" s="83"/>
      <c r="W283" s="83"/>
      <c r="X283" s="67"/>
      <c r="Y283" s="83"/>
    </row>
    <row r="284" spans="1:25" ht="19.5" customHeight="1">
      <c r="A284" s="39"/>
      <c r="B284" s="30"/>
      <c r="C284" s="30"/>
      <c r="D284" s="464" t="s">
        <v>590</v>
      </c>
      <c r="E284" s="465"/>
      <c r="F284" s="465"/>
      <c r="G284" s="465"/>
      <c r="H284" s="465"/>
      <c r="I284" s="465"/>
      <c r="J284" s="465"/>
      <c r="K284" s="466"/>
      <c r="L284" s="140" t="s">
        <v>690</v>
      </c>
      <c r="M284" s="141"/>
      <c r="N284" s="361" t="s">
        <v>682</v>
      </c>
      <c r="O284" s="362"/>
      <c r="P284" s="362"/>
      <c r="Q284" s="363"/>
      <c r="R284" s="221">
        <f>23.68449+15.6493+209.56812</f>
        <v>248.90191</v>
      </c>
      <c r="S284" s="222"/>
      <c r="T284" s="63"/>
      <c r="V284" s="83"/>
      <c r="W284" s="83"/>
      <c r="X284" s="67"/>
      <c r="Y284" s="83"/>
    </row>
    <row r="285" spans="1:25" ht="19.5" customHeight="1">
      <c r="A285" s="39"/>
      <c r="B285" s="30"/>
      <c r="C285" s="30"/>
      <c r="D285" s="464" t="s">
        <v>591</v>
      </c>
      <c r="E285" s="465"/>
      <c r="F285" s="465"/>
      <c r="G285" s="465"/>
      <c r="H285" s="465"/>
      <c r="I285" s="465"/>
      <c r="J285" s="465"/>
      <c r="K285" s="466"/>
      <c r="L285" s="140" t="s">
        <v>690</v>
      </c>
      <c r="M285" s="141"/>
      <c r="N285" s="361" t="s">
        <v>682</v>
      </c>
      <c r="O285" s="362"/>
      <c r="P285" s="362"/>
      <c r="Q285" s="363"/>
      <c r="R285" s="295">
        <v>277.8196</v>
      </c>
      <c r="S285" s="296"/>
      <c r="T285" s="63"/>
      <c r="V285" s="83"/>
      <c r="W285" s="83"/>
      <c r="X285" s="67"/>
      <c r="Y285" s="83"/>
    </row>
    <row r="286" spans="1:25" ht="35.25" customHeight="1">
      <c r="A286" s="39"/>
      <c r="B286" s="30"/>
      <c r="C286" s="30"/>
      <c r="D286" s="161" t="s">
        <v>592</v>
      </c>
      <c r="E286" s="162"/>
      <c r="F286" s="162"/>
      <c r="G286" s="162"/>
      <c r="H286" s="162"/>
      <c r="I286" s="162"/>
      <c r="J286" s="162"/>
      <c r="K286" s="163"/>
      <c r="L286" s="140" t="s">
        <v>690</v>
      </c>
      <c r="M286" s="141"/>
      <c r="N286" s="361" t="s">
        <v>682</v>
      </c>
      <c r="O286" s="362"/>
      <c r="P286" s="362"/>
      <c r="Q286" s="363"/>
      <c r="R286" s="295">
        <f>70.29847</f>
        <v>70.29847</v>
      </c>
      <c r="S286" s="296"/>
      <c r="T286" s="63"/>
      <c r="V286" s="83"/>
      <c r="W286" s="83"/>
      <c r="X286" s="67"/>
      <c r="Y286" s="83"/>
    </row>
    <row r="287" spans="1:25" ht="19.5" customHeight="1">
      <c r="A287" s="39"/>
      <c r="B287" s="30"/>
      <c r="C287" s="30"/>
      <c r="D287" s="166" t="s">
        <v>528</v>
      </c>
      <c r="E287" s="167"/>
      <c r="F287" s="167"/>
      <c r="G287" s="167"/>
      <c r="H287" s="167"/>
      <c r="I287" s="167"/>
      <c r="J287" s="167"/>
      <c r="K287" s="168"/>
      <c r="L287" s="140" t="s">
        <v>690</v>
      </c>
      <c r="M287" s="141"/>
      <c r="N287" s="361" t="s">
        <v>682</v>
      </c>
      <c r="O287" s="362"/>
      <c r="P287" s="362"/>
      <c r="Q287" s="363"/>
      <c r="R287" s="295">
        <v>29.11</v>
      </c>
      <c r="S287" s="296"/>
      <c r="T287" s="63"/>
      <c r="V287" s="83"/>
      <c r="W287" s="83"/>
      <c r="X287" s="67"/>
      <c r="Y287" s="83"/>
    </row>
    <row r="288" spans="1:25" ht="19.5" customHeight="1">
      <c r="A288" s="39"/>
      <c r="B288" s="30"/>
      <c r="C288" s="30"/>
      <c r="D288" s="166" t="s">
        <v>593</v>
      </c>
      <c r="E288" s="167"/>
      <c r="F288" s="167"/>
      <c r="G288" s="167"/>
      <c r="H288" s="167"/>
      <c r="I288" s="167"/>
      <c r="J288" s="167"/>
      <c r="K288" s="168"/>
      <c r="L288" s="140" t="s">
        <v>690</v>
      </c>
      <c r="M288" s="141"/>
      <c r="N288" s="361" t="s">
        <v>682</v>
      </c>
      <c r="O288" s="362"/>
      <c r="P288" s="362"/>
      <c r="Q288" s="363"/>
      <c r="R288" s="295">
        <v>290.77</v>
      </c>
      <c r="S288" s="296"/>
      <c r="T288" s="63"/>
      <c r="V288" s="83"/>
      <c r="W288" s="83"/>
      <c r="X288" s="67"/>
      <c r="Y288" s="83"/>
    </row>
    <row r="289" spans="1:25" ht="19.5" customHeight="1">
      <c r="A289" s="39"/>
      <c r="B289" s="30"/>
      <c r="C289" s="30"/>
      <c r="D289" s="166" t="s">
        <v>595</v>
      </c>
      <c r="E289" s="167"/>
      <c r="F289" s="167"/>
      <c r="G289" s="167"/>
      <c r="H289" s="167"/>
      <c r="I289" s="167"/>
      <c r="J289" s="167"/>
      <c r="K289" s="168"/>
      <c r="L289" s="140" t="s">
        <v>690</v>
      </c>
      <c r="M289" s="141"/>
      <c r="N289" s="361" t="s">
        <v>682</v>
      </c>
      <c r="O289" s="362"/>
      <c r="P289" s="362"/>
      <c r="Q289" s="363"/>
      <c r="R289" s="295">
        <f>831.2+229</f>
        <v>1060.2</v>
      </c>
      <c r="S289" s="296"/>
      <c r="T289" s="63"/>
      <c r="V289" s="83"/>
      <c r="W289" s="83"/>
      <c r="X289" s="67"/>
      <c r="Y289" s="83"/>
    </row>
    <row r="290" spans="1:25" ht="19.5" customHeight="1">
      <c r="A290" s="39"/>
      <c r="B290" s="30"/>
      <c r="C290" s="30"/>
      <c r="D290" s="181" t="s">
        <v>693</v>
      </c>
      <c r="E290" s="182"/>
      <c r="F290" s="182"/>
      <c r="G290" s="182"/>
      <c r="H290" s="182"/>
      <c r="I290" s="182"/>
      <c r="J290" s="182"/>
      <c r="K290" s="183"/>
      <c r="L290" s="140"/>
      <c r="M290" s="141"/>
      <c r="N290" s="170"/>
      <c r="O290" s="170"/>
      <c r="P290" s="170"/>
      <c r="Q290" s="170"/>
      <c r="R290" s="144"/>
      <c r="S290" s="144"/>
      <c r="T290" s="63"/>
      <c r="V290" s="83"/>
      <c r="W290" s="83"/>
      <c r="X290" s="67"/>
      <c r="Y290" s="83"/>
    </row>
    <row r="291" spans="1:25" ht="34.5" customHeight="1">
      <c r="A291" s="39"/>
      <c r="B291" s="30"/>
      <c r="C291" s="30"/>
      <c r="D291" s="161" t="s">
        <v>235</v>
      </c>
      <c r="E291" s="162"/>
      <c r="F291" s="162"/>
      <c r="G291" s="162"/>
      <c r="H291" s="162"/>
      <c r="I291" s="162"/>
      <c r="J291" s="162"/>
      <c r="K291" s="163"/>
      <c r="L291" s="140"/>
      <c r="M291" s="141"/>
      <c r="N291" s="274"/>
      <c r="O291" s="275"/>
      <c r="P291" s="275"/>
      <c r="Q291" s="276"/>
      <c r="R291" s="140"/>
      <c r="S291" s="141"/>
      <c r="T291" s="63"/>
      <c r="V291" s="83"/>
      <c r="W291" s="83"/>
      <c r="X291" s="67"/>
      <c r="Y291" s="83"/>
    </row>
    <row r="292" spans="1:25" ht="18.75" customHeight="1">
      <c r="A292" s="39"/>
      <c r="B292" s="30"/>
      <c r="C292" s="30"/>
      <c r="D292" s="166" t="s">
        <v>590</v>
      </c>
      <c r="E292" s="167"/>
      <c r="F292" s="167"/>
      <c r="G292" s="167"/>
      <c r="H292" s="167"/>
      <c r="I292" s="167"/>
      <c r="J292" s="167"/>
      <c r="K292" s="168"/>
      <c r="L292" s="140"/>
      <c r="M292" s="141"/>
      <c r="N292" s="144"/>
      <c r="O292" s="144"/>
      <c r="P292" s="144"/>
      <c r="Q292" s="144"/>
      <c r="R292" s="452"/>
      <c r="S292" s="452"/>
      <c r="T292" s="63"/>
      <c r="V292" s="83"/>
      <c r="W292" s="83"/>
      <c r="X292" s="67"/>
      <c r="Y292" s="83"/>
    </row>
    <row r="293" spans="1:25" ht="17.25" customHeight="1">
      <c r="A293" s="39"/>
      <c r="B293" s="30"/>
      <c r="C293" s="30"/>
      <c r="D293" s="229" t="s">
        <v>360</v>
      </c>
      <c r="E293" s="468"/>
      <c r="F293" s="468"/>
      <c r="G293" s="468"/>
      <c r="H293" s="468"/>
      <c r="I293" s="468"/>
      <c r="J293" s="468"/>
      <c r="K293" s="469"/>
      <c r="L293" s="140" t="s">
        <v>647</v>
      </c>
      <c r="M293" s="141"/>
      <c r="N293" s="140" t="s">
        <v>651</v>
      </c>
      <c r="O293" s="142"/>
      <c r="P293" s="142"/>
      <c r="Q293" s="141"/>
      <c r="R293" s="467">
        <v>19</v>
      </c>
      <c r="S293" s="467"/>
      <c r="T293" s="63"/>
      <c r="V293" s="83"/>
      <c r="W293" s="83"/>
      <c r="X293" s="67"/>
      <c r="Y293" s="83"/>
    </row>
    <row r="294" spans="1:25" ht="17.25" customHeight="1">
      <c r="A294" s="39"/>
      <c r="B294" s="30"/>
      <c r="C294" s="30"/>
      <c r="D294" s="229" t="s">
        <v>650</v>
      </c>
      <c r="E294" s="468"/>
      <c r="F294" s="468"/>
      <c r="G294" s="468"/>
      <c r="H294" s="468"/>
      <c r="I294" s="468"/>
      <c r="J294" s="468"/>
      <c r="K294" s="469"/>
      <c r="L294" s="140" t="s">
        <v>647</v>
      </c>
      <c r="M294" s="141"/>
      <c r="N294" s="140" t="s">
        <v>651</v>
      </c>
      <c r="O294" s="142"/>
      <c r="P294" s="142"/>
      <c r="Q294" s="141"/>
      <c r="R294" s="467">
        <v>38.7</v>
      </c>
      <c r="S294" s="467"/>
      <c r="T294" s="63"/>
      <c r="V294" s="83"/>
      <c r="W294" s="83"/>
      <c r="X294" s="67"/>
      <c r="Y294" s="83"/>
    </row>
    <row r="295" spans="1:25" ht="18" customHeight="1">
      <c r="A295" s="39"/>
      <c r="B295" s="30"/>
      <c r="C295" s="30"/>
      <c r="D295" s="166" t="s">
        <v>591</v>
      </c>
      <c r="E295" s="167"/>
      <c r="F295" s="167"/>
      <c r="G295" s="167"/>
      <c r="H295" s="167"/>
      <c r="I295" s="167"/>
      <c r="J295" s="167"/>
      <c r="K295" s="168"/>
      <c r="L295" s="140" t="s">
        <v>737</v>
      </c>
      <c r="M295" s="141"/>
      <c r="N295" s="140" t="s">
        <v>603</v>
      </c>
      <c r="O295" s="142"/>
      <c r="P295" s="142"/>
      <c r="Q295" s="141"/>
      <c r="R295" s="420">
        <v>328</v>
      </c>
      <c r="S295" s="420"/>
      <c r="T295" s="63"/>
      <c r="V295" s="83"/>
      <c r="W295" s="83"/>
      <c r="X295" s="67"/>
      <c r="Y295" s="83"/>
    </row>
    <row r="296" spans="1:25" ht="37.5" customHeight="1">
      <c r="A296" s="39"/>
      <c r="B296" s="30"/>
      <c r="C296" s="30"/>
      <c r="D296" s="166" t="s">
        <v>592</v>
      </c>
      <c r="E296" s="167"/>
      <c r="F296" s="167"/>
      <c r="G296" s="167"/>
      <c r="H296" s="167"/>
      <c r="I296" s="167"/>
      <c r="J296" s="167"/>
      <c r="K296" s="168"/>
      <c r="L296" s="140" t="s">
        <v>652</v>
      </c>
      <c r="M296" s="141"/>
      <c r="N296" s="140" t="s">
        <v>603</v>
      </c>
      <c r="O296" s="142"/>
      <c r="P296" s="142"/>
      <c r="Q296" s="141"/>
      <c r="R296" s="421">
        <v>7051</v>
      </c>
      <c r="S296" s="422"/>
      <c r="T296" s="63"/>
      <c r="V296" s="83"/>
      <c r="W296" s="83"/>
      <c r="X296" s="67"/>
      <c r="Y296" s="83"/>
    </row>
    <row r="297" spans="1:25" ht="18" customHeight="1">
      <c r="A297" s="39"/>
      <c r="B297" s="30"/>
      <c r="C297" s="30"/>
      <c r="D297" s="166" t="s">
        <v>528</v>
      </c>
      <c r="E297" s="167"/>
      <c r="F297" s="167"/>
      <c r="G297" s="167"/>
      <c r="H297" s="167"/>
      <c r="I297" s="167"/>
      <c r="J297" s="167"/>
      <c r="K297" s="168"/>
      <c r="L297" s="140" t="s">
        <v>652</v>
      </c>
      <c r="M297" s="141"/>
      <c r="N297" s="140" t="s">
        <v>603</v>
      </c>
      <c r="O297" s="142"/>
      <c r="P297" s="142"/>
      <c r="Q297" s="141"/>
      <c r="R297" s="421">
        <v>1000</v>
      </c>
      <c r="S297" s="422"/>
      <c r="T297" s="63"/>
      <c r="V297" s="83"/>
      <c r="W297" s="83"/>
      <c r="X297" s="67"/>
      <c r="Y297" s="83"/>
    </row>
    <row r="298" spans="1:25" ht="18" customHeight="1">
      <c r="A298" s="39"/>
      <c r="B298" s="30"/>
      <c r="C298" s="30"/>
      <c r="D298" s="166" t="s">
        <v>594</v>
      </c>
      <c r="E298" s="167"/>
      <c r="F298" s="167"/>
      <c r="G298" s="167"/>
      <c r="H298" s="167"/>
      <c r="I298" s="167"/>
      <c r="J298" s="167"/>
      <c r="K298" s="168"/>
      <c r="L298" s="140" t="s">
        <v>718</v>
      </c>
      <c r="M298" s="141"/>
      <c r="N298" s="140" t="s">
        <v>603</v>
      </c>
      <c r="O298" s="142"/>
      <c r="P298" s="142"/>
      <c r="Q298" s="141"/>
      <c r="R298" s="189">
        <v>13.6</v>
      </c>
      <c r="S298" s="189"/>
      <c r="T298" s="63"/>
      <c r="V298" s="83"/>
      <c r="W298" s="83"/>
      <c r="X298" s="67"/>
      <c r="Y298" s="83"/>
    </row>
    <row r="299" spans="1:25" ht="18" customHeight="1">
      <c r="A299" s="39"/>
      <c r="B299" s="30"/>
      <c r="C299" s="30"/>
      <c r="D299" s="166" t="s">
        <v>593</v>
      </c>
      <c r="E299" s="167"/>
      <c r="F299" s="167"/>
      <c r="G299" s="167"/>
      <c r="H299" s="167"/>
      <c r="I299" s="167"/>
      <c r="J299" s="167"/>
      <c r="K299" s="168"/>
      <c r="L299" s="140" t="s">
        <v>578</v>
      </c>
      <c r="M299" s="141"/>
      <c r="N299" s="140" t="s">
        <v>603</v>
      </c>
      <c r="O299" s="142"/>
      <c r="P299" s="142"/>
      <c r="Q299" s="141"/>
      <c r="R299" s="421">
        <v>1</v>
      </c>
      <c r="S299" s="422"/>
      <c r="T299" s="63"/>
      <c r="V299" s="83"/>
      <c r="W299" s="83"/>
      <c r="X299" s="67"/>
      <c r="Y299" s="83"/>
    </row>
    <row r="300" spans="1:25" ht="18" customHeight="1">
      <c r="A300" s="39"/>
      <c r="B300" s="30"/>
      <c r="C300" s="30"/>
      <c r="D300" s="166" t="s">
        <v>595</v>
      </c>
      <c r="E300" s="167"/>
      <c r="F300" s="167"/>
      <c r="G300" s="167"/>
      <c r="H300" s="167"/>
      <c r="I300" s="167"/>
      <c r="J300" s="167"/>
      <c r="K300" s="168"/>
      <c r="L300" s="140" t="s">
        <v>737</v>
      </c>
      <c r="M300" s="141"/>
      <c r="N300" s="140" t="s">
        <v>603</v>
      </c>
      <c r="O300" s="142"/>
      <c r="P300" s="142"/>
      <c r="Q300" s="141"/>
      <c r="R300" s="421">
        <v>95</v>
      </c>
      <c r="S300" s="422"/>
      <c r="T300" s="63"/>
      <c r="V300" s="83"/>
      <c r="W300" s="83"/>
      <c r="X300" s="67"/>
      <c r="Y300" s="83"/>
    </row>
    <row r="301" spans="1:25" ht="18.75" customHeight="1">
      <c r="A301" s="39"/>
      <c r="B301" s="30"/>
      <c r="C301" s="30"/>
      <c r="D301" s="181" t="s">
        <v>694</v>
      </c>
      <c r="E301" s="182"/>
      <c r="F301" s="182"/>
      <c r="G301" s="182"/>
      <c r="H301" s="182"/>
      <c r="I301" s="182"/>
      <c r="J301" s="182"/>
      <c r="K301" s="182"/>
      <c r="L301" s="140"/>
      <c r="M301" s="141"/>
      <c r="N301" s="144"/>
      <c r="O301" s="144"/>
      <c r="P301" s="144"/>
      <c r="Q301" s="144"/>
      <c r="R301" s="144"/>
      <c r="S301" s="144"/>
      <c r="T301" s="63"/>
      <c r="V301" s="83"/>
      <c r="W301" s="83"/>
      <c r="X301" s="67"/>
      <c r="Y301" s="83"/>
    </row>
    <row r="302" spans="1:25" ht="18.75" customHeight="1">
      <c r="A302" s="39"/>
      <c r="B302" s="30"/>
      <c r="C302" s="30"/>
      <c r="D302" s="143" t="s">
        <v>596</v>
      </c>
      <c r="E302" s="143"/>
      <c r="F302" s="143"/>
      <c r="G302" s="143"/>
      <c r="H302" s="143"/>
      <c r="I302" s="143"/>
      <c r="J302" s="143"/>
      <c r="K302" s="143"/>
      <c r="L302" s="140" t="s">
        <v>695</v>
      </c>
      <c r="M302" s="141"/>
      <c r="N302" s="140" t="s">
        <v>603</v>
      </c>
      <c r="O302" s="142"/>
      <c r="P302" s="142"/>
      <c r="Q302" s="141"/>
      <c r="R302" s="295">
        <f>R284/12/2*1000</f>
        <v>10370.912916666666</v>
      </c>
      <c r="S302" s="296"/>
      <c r="T302" s="63"/>
      <c r="V302" s="83"/>
      <c r="W302" s="83"/>
      <c r="X302" s="67"/>
      <c r="Y302" s="83"/>
    </row>
    <row r="303" spans="1:25" ht="18.75" customHeight="1">
      <c r="A303" s="39"/>
      <c r="B303" s="30"/>
      <c r="C303" s="30"/>
      <c r="D303" s="143" t="s">
        <v>597</v>
      </c>
      <c r="E303" s="143"/>
      <c r="F303" s="143"/>
      <c r="G303" s="143"/>
      <c r="H303" s="143"/>
      <c r="I303" s="143"/>
      <c r="J303" s="143"/>
      <c r="K303" s="143"/>
      <c r="L303" s="140" t="s">
        <v>695</v>
      </c>
      <c r="M303" s="141"/>
      <c r="N303" s="140" t="s">
        <v>603</v>
      </c>
      <c r="O303" s="142"/>
      <c r="P303" s="142"/>
      <c r="Q303" s="141"/>
      <c r="R303" s="295">
        <f>R285/R295*1000</f>
        <v>847.010975609756</v>
      </c>
      <c r="S303" s="296"/>
      <c r="T303" s="63"/>
      <c r="V303" s="83"/>
      <c r="W303" s="83"/>
      <c r="X303" s="67"/>
      <c r="Y303" s="83"/>
    </row>
    <row r="304" spans="1:25" ht="37.5" customHeight="1">
      <c r="A304" s="39"/>
      <c r="B304" s="30"/>
      <c r="C304" s="30"/>
      <c r="D304" s="166" t="s">
        <v>598</v>
      </c>
      <c r="E304" s="167"/>
      <c r="F304" s="167"/>
      <c r="G304" s="167"/>
      <c r="H304" s="167"/>
      <c r="I304" s="167"/>
      <c r="J304" s="167"/>
      <c r="K304" s="168"/>
      <c r="L304" s="140" t="s">
        <v>695</v>
      </c>
      <c r="M304" s="141"/>
      <c r="N304" s="140" t="s">
        <v>603</v>
      </c>
      <c r="O304" s="142"/>
      <c r="P304" s="142"/>
      <c r="Q304" s="141"/>
      <c r="R304" s="295">
        <f>R286/R296*1000</f>
        <v>9.969999999999999</v>
      </c>
      <c r="S304" s="296"/>
      <c r="T304" s="63"/>
      <c r="V304" s="83"/>
      <c r="W304" s="83"/>
      <c r="X304" s="67"/>
      <c r="Y304" s="83"/>
    </row>
    <row r="305" spans="1:25" ht="21" customHeight="1">
      <c r="A305" s="39"/>
      <c r="B305" s="30"/>
      <c r="C305" s="30"/>
      <c r="D305" s="166" t="s">
        <v>529</v>
      </c>
      <c r="E305" s="167"/>
      <c r="F305" s="167"/>
      <c r="G305" s="167"/>
      <c r="H305" s="167"/>
      <c r="I305" s="167"/>
      <c r="J305" s="167"/>
      <c r="K305" s="168"/>
      <c r="L305" s="140" t="s">
        <v>695</v>
      </c>
      <c r="M305" s="141"/>
      <c r="N305" s="140" t="s">
        <v>603</v>
      </c>
      <c r="O305" s="142"/>
      <c r="P305" s="142"/>
      <c r="Q305" s="141"/>
      <c r="R305" s="295">
        <f>R287/R297*1000</f>
        <v>29.11</v>
      </c>
      <c r="S305" s="296"/>
      <c r="T305" s="63"/>
      <c r="V305" s="83"/>
      <c r="W305" s="83"/>
      <c r="X305" s="67"/>
      <c r="Y305" s="83"/>
    </row>
    <row r="306" spans="1:25" ht="27.75" customHeight="1">
      <c r="A306" s="39"/>
      <c r="B306" s="30"/>
      <c r="C306" s="30"/>
      <c r="D306" s="143" t="s">
        <v>466</v>
      </c>
      <c r="E306" s="143"/>
      <c r="F306" s="143"/>
      <c r="G306" s="143"/>
      <c r="H306" s="143"/>
      <c r="I306" s="143"/>
      <c r="J306" s="143"/>
      <c r="K306" s="143"/>
      <c r="L306" s="140" t="s">
        <v>556</v>
      </c>
      <c r="M306" s="141"/>
      <c r="N306" s="140" t="s">
        <v>603</v>
      </c>
      <c r="O306" s="142"/>
      <c r="P306" s="142"/>
      <c r="Q306" s="141"/>
      <c r="R306" s="295">
        <f>R288</f>
        <v>290.77</v>
      </c>
      <c r="S306" s="296"/>
      <c r="T306" s="63"/>
      <c r="V306" s="83"/>
      <c r="W306" s="83"/>
      <c r="X306" s="67"/>
      <c r="Y306" s="83"/>
    </row>
    <row r="307" spans="1:25" ht="21" customHeight="1">
      <c r="A307" s="39"/>
      <c r="B307" s="30"/>
      <c r="C307" s="30"/>
      <c r="D307" s="143" t="s">
        <v>740</v>
      </c>
      <c r="E307" s="143"/>
      <c r="F307" s="143"/>
      <c r="G307" s="143"/>
      <c r="H307" s="143"/>
      <c r="I307" s="143"/>
      <c r="J307" s="143"/>
      <c r="K307" s="143"/>
      <c r="L307" s="140" t="s">
        <v>556</v>
      </c>
      <c r="M307" s="141"/>
      <c r="N307" s="140" t="s">
        <v>603</v>
      </c>
      <c r="O307" s="142"/>
      <c r="P307" s="142"/>
      <c r="Q307" s="141"/>
      <c r="R307" s="295">
        <f>R289/12</f>
        <v>88.35000000000001</v>
      </c>
      <c r="S307" s="296"/>
      <c r="T307" s="63"/>
      <c r="V307" s="83"/>
      <c r="W307" s="83"/>
      <c r="X307" s="67"/>
      <c r="Y307" s="83"/>
    </row>
    <row r="308" spans="1:25" ht="15.75">
      <c r="A308" s="39"/>
      <c r="B308" s="30"/>
      <c r="C308" s="30"/>
      <c r="D308" s="181" t="s">
        <v>697</v>
      </c>
      <c r="E308" s="182"/>
      <c r="F308" s="182"/>
      <c r="G308" s="182"/>
      <c r="H308" s="182"/>
      <c r="I308" s="182"/>
      <c r="J308" s="182"/>
      <c r="K308" s="182"/>
      <c r="L308" s="140"/>
      <c r="M308" s="141"/>
      <c r="N308" s="144"/>
      <c r="O308" s="144"/>
      <c r="P308" s="144"/>
      <c r="Q308" s="144"/>
      <c r="R308" s="144"/>
      <c r="S308" s="144"/>
      <c r="T308" s="63"/>
      <c r="V308" s="83"/>
      <c r="W308" s="83"/>
      <c r="X308" s="67"/>
      <c r="Y308" s="83"/>
    </row>
    <row r="309" spans="1:25" ht="33.75" customHeight="1">
      <c r="A309" s="39"/>
      <c r="B309" s="30"/>
      <c r="C309" s="30"/>
      <c r="D309" s="360" t="s">
        <v>599</v>
      </c>
      <c r="E309" s="360"/>
      <c r="F309" s="360"/>
      <c r="G309" s="360"/>
      <c r="H309" s="360"/>
      <c r="I309" s="360"/>
      <c r="J309" s="360"/>
      <c r="K309" s="360"/>
      <c r="L309" s="144" t="s">
        <v>696</v>
      </c>
      <c r="M309" s="144"/>
      <c r="N309" s="140" t="s">
        <v>603</v>
      </c>
      <c r="O309" s="142"/>
      <c r="P309" s="142"/>
      <c r="Q309" s="141"/>
      <c r="R309" s="189">
        <f>916.9/551.2*100</f>
        <v>166.34615384615384</v>
      </c>
      <c r="S309" s="189"/>
      <c r="T309" s="63"/>
      <c r="V309" s="83"/>
      <c r="W309" s="83"/>
      <c r="X309" s="67"/>
      <c r="Y309" s="83"/>
    </row>
    <row r="310" spans="1:25" ht="37.5" customHeight="1">
      <c r="A310" s="39"/>
      <c r="B310" s="30"/>
      <c r="C310" s="30"/>
      <c r="D310" s="360" t="s">
        <v>741</v>
      </c>
      <c r="E310" s="360"/>
      <c r="F310" s="360"/>
      <c r="G310" s="360"/>
      <c r="H310" s="360"/>
      <c r="I310" s="360"/>
      <c r="J310" s="360"/>
      <c r="K310" s="360"/>
      <c r="L310" s="144" t="s">
        <v>696</v>
      </c>
      <c r="M310" s="144"/>
      <c r="N310" s="144" t="s">
        <v>603</v>
      </c>
      <c r="O310" s="144"/>
      <c r="P310" s="144"/>
      <c r="Q310" s="144"/>
      <c r="R310" s="473">
        <f>R307/50*100</f>
        <v>176.70000000000002</v>
      </c>
      <c r="S310" s="473"/>
      <c r="T310" s="63"/>
      <c r="V310" s="83"/>
      <c r="W310" s="83"/>
      <c r="X310" s="67"/>
      <c r="Y310" s="83"/>
    </row>
    <row r="311" spans="1:25" ht="8.25" customHeight="1">
      <c r="A311" s="39"/>
      <c r="B311" s="39"/>
      <c r="C311" s="39"/>
      <c r="D311" s="66"/>
      <c r="E311" s="66"/>
      <c r="F311" s="66"/>
      <c r="G311" s="66"/>
      <c r="H311" s="66"/>
      <c r="I311" s="66"/>
      <c r="J311" s="66"/>
      <c r="K311" s="66"/>
      <c r="L311" s="56"/>
      <c r="M311" s="56"/>
      <c r="N311" s="56"/>
      <c r="O311" s="56"/>
      <c r="P311" s="56"/>
      <c r="Q311" s="56"/>
      <c r="R311" s="56"/>
      <c r="S311" s="56"/>
      <c r="T311" s="63"/>
      <c r="V311" s="83"/>
      <c r="W311" s="83"/>
      <c r="X311" s="67"/>
      <c r="Y311" s="83"/>
    </row>
    <row r="312" spans="1:25" ht="33.75" customHeight="1">
      <c r="A312" s="39"/>
      <c r="B312" s="30" t="s">
        <v>683</v>
      </c>
      <c r="C312" s="30" t="s">
        <v>721</v>
      </c>
      <c r="D312" s="144" t="s">
        <v>225</v>
      </c>
      <c r="E312" s="144"/>
      <c r="F312" s="144"/>
      <c r="G312" s="144"/>
      <c r="H312" s="144"/>
      <c r="I312" s="144"/>
      <c r="J312" s="144"/>
      <c r="K312" s="144"/>
      <c r="L312" s="140" t="s">
        <v>715</v>
      </c>
      <c r="M312" s="141"/>
      <c r="N312" s="144" t="s">
        <v>687</v>
      </c>
      <c r="O312" s="144"/>
      <c r="P312" s="144"/>
      <c r="Q312" s="144"/>
      <c r="R312" s="144" t="s">
        <v>733</v>
      </c>
      <c r="S312" s="187"/>
      <c r="T312" s="63"/>
      <c r="V312" s="83"/>
      <c r="W312" s="83"/>
      <c r="X312" s="67"/>
      <c r="Y312" s="83"/>
    </row>
    <row r="313" spans="1:25" ht="15.75" customHeight="1">
      <c r="A313" s="39"/>
      <c r="B313" s="30">
        <v>1</v>
      </c>
      <c r="C313" s="30">
        <v>2</v>
      </c>
      <c r="D313" s="205">
        <v>3</v>
      </c>
      <c r="E313" s="206"/>
      <c r="F313" s="206"/>
      <c r="G313" s="206"/>
      <c r="H313" s="206"/>
      <c r="I313" s="206"/>
      <c r="J313" s="206"/>
      <c r="K313" s="207"/>
      <c r="L313" s="140">
        <v>4</v>
      </c>
      <c r="M313" s="141"/>
      <c r="N313" s="144">
        <v>5</v>
      </c>
      <c r="O313" s="144"/>
      <c r="P313" s="144"/>
      <c r="Q313" s="144"/>
      <c r="R313" s="144">
        <v>6</v>
      </c>
      <c r="S313" s="187"/>
      <c r="T313" s="63"/>
      <c r="V313" s="83"/>
      <c r="W313" s="83"/>
      <c r="X313" s="67"/>
      <c r="Y313" s="83"/>
    </row>
    <row r="314" spans="1:25" ht="18" customHeight="1">
      <c r="A314" s="39"/>
      <c r="B314" s="32">
        <v>1</v>
      </c>
      <c r="C314" s="32">
        <v>4016060</v>
      </c>
      <c r="D314" s="178" t="s">
        <v>717</v>
      </c>
      <c r="E314" s="179"/>
      <c r="F314" s="179"/>
      <c r="G314" s="179"/>
      <c r="H314" s="179"/>
      <c r="I314" s="179"/>
      <c r="J314" s="179"/>
      <c r="K314" s="179"/>
      <c r="L314" s="179"/>
      <c r="M314" s="179"/>
      <c r="N314" s="179"/>
      <c r="O314" s="179"/>
      <c r="P314" s="179"/>
      <c r="Q314" s="179"/>
      <c r="R314" s="179"/>
      <c r="S314" s="180"/>
      <c r="T314" s="63"/>
      <c r="V314" s="83"/>
      <c r="W314" s="83"/>
      <c r="X314" s="67"/>
      <c r="Y314" s="83"/>
    </row>
    <row r="315" spans="1:25" ht="18.75" customHeight="1">
      <c r="A315" s="39"/>
      <c r="B315" s="32"/>
      <c r="C315" s="32"/>
      <c r="D315" s="178" t="s">
        <v>653</v>
      </c>
      <c r="E315" s="179"/>
      <c r="F315" s="179"/>
      <c r="G315" s="179"/>
      <c r="H315" s="179"/>
      <c r="I315" s="179"/>
      <c r="J315" s="179"/>
      <c r="K315" s="179"/>
      <c r="L315" s="179"/>
      <c r="M315" s="179"/>
      <c r="N315" s="179"/>
      <c r="O315" s="179"/>
      <c r="P315" s="179"/>
      <c r="Q315" s="179"/>
      <c r="R315" s="179"/>
      <c r="S315" s="180"/>
      <c r="T315" s="63"/>
      <c r="V315" s="83"/>
      <c r="W315" s="83"/>
      <c r="X315" s="67"/>
      <c r="Y315" s="83"/>
    </row>
    <row r="316" spans="1:25" ht="18" customHeight="1">
      <c r="A316" s="39"/>
      <c r="B316" s="33"/>
      <c r="C316" s="82"/>
      <c r="D316" s="181" t="s">
        <v>688</v>
      </c>
      <c r="E316" s="182"/>
      <c r="F316" s="182"/>
      <c r="G316" s="182"/>
      <c r="H316" s="182"/>
      <c r="I316" s="182"/>
      <c r="J316" s="182"/>
      <c r="K316" s="183"/>
      <c r="L316" s="140"/>
      <c r="M316" s="141"/>
      <c r="N316" s="144"/>
      <c r="O316" s="144"/>
      <c r="P316" s="144"/>
      <c r="Q316" s="144"/>
      <c r="R316" s="144"/>
      <c r="S316" s="472"/>
      <c r="T316" s="63"/>
      <c r="V316" s="83"/>
      <c r="W316" s="83"/>
      <c r="X316" s="67"/>
      <c r="Y316" s="83"/>
    </row>
    <row r="317" spans="1:25" ht="16.5" customHeight="1">
      <c r="A317" s="39"/>
      <c r="B317" s="33"/>
      <c r="C317" s="82"/>
      <c r="D317" s="402" t="s">
        <v>394</v>
      </c>
      <c r="E317" s="403"/>
      <c r="F317" s="403"/>
      <c r="G317" s="403"/>
      <c r="H317" s="403"/>
      <c r="I317" s="403"/>
      <c r="J317" s="403"/>
      <c r="K317" s="408"/>
      <c r="L317" s="140" t="s">
        <v>690</v>
      </c>
      <c r="M317" s="141"/>
      <c r="N317" s="170" t="s">
        <v>568</v>
      </c>
      <c r="O317" s="170"/>
      <c r="P317" s="170"/>
      <c r="Q317" s="170"/>
      <c r="R317" s="470">
        <f>R318+R331+R334+R335</f>
        <v>39263.566000000006</v>
      </c>
      <c r="S317" s="471"/>
      <c r="T317" s="63"/>
      <c r="V317" s="83"/>
      <c r="W317" s="83"/>
      <c r="X317" s="67"/>
      <c r="Y317" s="83"/>
    </row>
    <row r="318" spans="1:25" ht="16.5" customHeight="1">
      <c r="A318" s="39"/>
      <c r="B318" s="33"/>
      <c r="C318" s="82"/>
      <c r="D318" s="402" t="s">
        <v>395</v>
      </c>
      <c r="E318" s="403"/>
      <c r="F318" s="403"/>
      <c r="G318" s="403"/>
      <c r="H318" s="403"/>
      <c r="I318" s="403"/>
      <c r="J318" s="403"/>
      <c r="K318" s="403"/>
      <c r="L318" s="140" t="s">
        <v>690</v>
      </c>
      <c r="M318" s="141"/>
      <c r="N318" s="170" t="s">
        <v>682</v>
      </c>
      <c r="O318" s="170"/>
      <c r="P318" s="170"/>
      <c r="Q318" s="170"/>
      <c r="R318" s="462">
        <f>SUM(R319:S330)</f>
        <v>6402.429999999999</v>
      </c>
      <c r="S318" s="463"/>
      <c r="T318" s="63"/>
      <c r="V318" s="83"/>
      <c r="W318" s="83"/>
      <c r="X318" s="67"/>
      <c r="Y318" s="83"/>
    </row>
    <row r="319" spans="1:25" ht="21.75" customHeight="1">
      <c r="A319" s="39"/>
      <c r="B319" s="33"/>
      <c r="C319" s="82"/>
      <c r="D319" s="184" t="s">
        <v>396</v>
      </c>
      <c r="E319" s="185"/>
      <c r="F319" s="185"/>
      <c r="G319" s="185"/>
      <c r="H319" s="185"/>
      <c r="I319" s="185"/>
      <c r="J319" s="185"/>
      <c r="K319" s="186"/>
      <c r="L319" s="140" t="s">
        <v>690</v>
      </c>
      <c r="M319" s="141"/>
      <c r="N319" s="170" t="s">
        <v>682</v>
      </c>
      <c r="O319" s="170"/>
      <c r="P319" s="170"/>
      <c r="Q319" s="170"/>
      <c r="R319" s="290">
        <f>67.6</f>
        <v>67.6</v>
      </c>
      <c r="S319" s="291"/>
      <c r="T319" s="63"/>
      <c r="V319" s="83"/>
      <c r="W319" s="83"/>
      <c r="X319" s="67"/>
      <c r="Y319" s="83"/>
    </row>
    <row r="320" spans="1:25" ht="19.5" customHeight="1">
      <c r="A320" s="39"/>
      <c r="B320" s="33"/>
      <c r="C320" s="82"/>
      <c r="D320" s="184" t="s">
        <v>397</v>
      </c>
      <c r="E320" s="185"/>
      <c r="F320" s="185"/>
      <c r="G320" s="185"/>
      <c r="H320" s="185"/>
      <c r="I320" s="185"/>
      <c r="J320" s="185"/>
      <c r="K320" s="186"/>
      <c r="L320" s="140" t="s">
        <v>690</v>
      </c>
      <c r="M320" s="141"/>
      <c r="N320" s="170" t="s">
        <v>682</v>
      </c>
      <c r="O320" s="170"/>
      <c r="P320" s="170"/>
      <c r="Q320" s="170"/>
      <c r="R320" s="290">
        <v>168.1</v>
      </c>
      <c r="S320" s="291"/>
      <c r="T320" s="63"/>
      <c r="V320" s="83"/>
      <c r="W320" s="83"/>
      <c r="X320" s="67"/>
      <c r="Y320" s="83"/>
    </row>
    <row r="321" spans="1:25" ht="20.25" customHeight="1">
      <c r="A321" s="39"/>
      <c r="B321" s="33"/>
      <c r="C321" s="82"/>
      <c r="D321" s="184" t="s">
        <v>398</v>
      </c>
      <c r="E321" s="185"/>
      <c r="F321" s="185"/>
      <c r="G321" s="185"/>
      <c r="H321" s="185"/>
      <c r="I321" s="185"/>
      <c r="J321" s="185"/>
      <c r="K321" s="186"/>
      <c r="L321" s="140" t="s">
        <v>690</v>
      </c>
      <c r="M321" s="141"/>
      <c r="N321" s="170" t="s">
        <v>682</v>
      </c>
      <c r="O321" s="170"/>
      <c r="P321" s="170"/>
      <c r="Q321" s="170"/>
      <c r="R321" s="290">
        <v>45.6</v>
      </c>
      <c r="S321" s="291"/>
      <c r="T321" s="63"/>
      <c r="V321" s="83"/>
      <c r="W321" s="83"/>
      <c r="X321" s="67"/>
      <c r="Y321" s="83"/>
    </row>
    <row r="322" spans="1:25" ht="24" customHeight="1">
      <c r="A322" s="39"/>
      <c r="B322" s="33"/>
      <c r="C322" s="82"/>
      <c r="D322" s="184" t="s">
        <v>399</v>
      </c>
      <c r="E322" s="185"/>
      <c r="F322" s="185"/>
      <c r="G322" s="185"/>
      <c r="H322" s="185"/>
      <c r="I322" s="185"/>
      <c r="J322" s="185"/>
      <c r="K322" s="186"/>
      <c r="L322" s="140" t="s">
        <v>690</v>
      </c>
      <c r="M322" s="141"/>
      <c r="N322" s="170" t="s">
        <v>682</v>
      </c>
      <c r="O322" s="170"/>
      <c r="P322" s="170"/>
      <c r="Q322" s="170"/>
      <c r="R322" s="290">
        <v>37.47</v>
      </c>
      <c r="S322" s="291"/>
      <c r="T322" s="63"/>
      <c r="V322" s="83"/>
      <c r="W322" s="83"/>
      <c r="X322" s="67"/>
      <c r="Y322" s="83"/>
    </row>
    <row r="323" spans="1:25" ht="33.75" customHeight="1">
      <c r="A323" s="39"/>
      <c r="B323" s="33"/>
      <c r="C323" s="82"/>
      <c r="D323" s="184" t="s">
        <v>400</v>
      </c>
      <c r="E323" s="185"/>
      <c r="F323" s="185"/>
      <c r="G323" s="185"/>
      <c r="H323" s="185"/>
      <c r="I323" s="185"/>
      <c r="J323" s="185"/>
      <c r="K323" s="186"/>
      <c r="L323" s="140" t="s">
        <v>690</v>
      </c>
      <c r="M323" s="141"/>
      <c r="N323" s="170" t="s">
        <v>682</v>
      </c>
      <c r="O323" s="170"/>
      <c r="P323" s="170"/>
      <c r="Q323" s="170"/>
      <c r="R323" s="290">
        <v>122.6</v>
      </c>
      <c r="S323" s="291"/>
      <c r="T323" s="63"/>
      <c r="V323" s="83"/>
      <c r="W323" s="83"/>
      <c r="X323" s="67"/>
      <c r="Y323" s="83"/>
    </row>
    <row r="324" spans="1:25" ht="34.5" customHeight="1">
      <c r="A324" s="39"/>
      <c r="B324" s="33"/>
      <c r="C324" s="82"/>
      <c r="D324" s="184" t="s">
        <v>401</v>
      </c>
      <c r="E324" s="185"/>
      <c r="F324" s="185"/>
      <c r="G324" s="185"/>
      <c r="H324" s="185"/>
      <c r="I324" s="185"/>
      <c r="J324" s="185"/>
      <c r="K324" s="186"/>
      <c r="L324" s="140" t="s">
        <v>690</v>
      </c>
      <c r="M324" s="141"/>
      <c r="N324" s="170" t="s">
        <v>682</v>
      </c>
      <c r="O324" s="170"/>
      <c r="P324" s="170"/>
      <c r="Q324" s="170"/>
      <c r="R324" s="290">
        <v>39.7</v>
      </c>
      <c r="S324" s="291"/>
      <c r="T324" s="63"/>
      <c r="V324" s="83"/>
      <c r="W324" s="83"/>
      <c r="X324" s="67"/>
      <c r="Y324" s="83"/>
    </row>
    <row r="325" spans="1:25" ht="21" customHeight="1">
      <c r="A325" s="39"/>
      <c r="B325" s="30"/>
      <c r="C325" s="30"/>
      <c r="D325" s="184" t="s">
        <v>402</v>
      </c>
      <c r="E325" s="185"/>
      <c r="F325" s="185"/>
      <c r="G325" s="185"/>
      <c r="H325" s="185"/>
      <c r="I325" s="185"/>
      <c r="J325" s="185"/>
      <c r="K325" s="186"/>
      <c r="L325" s="140" t="s">
        <v>690</v>
      </c>
      <c r="M325" s="141"/>
      <c r="N325" s="170" t="s">
        <v>682</v>
      </c>
      <c r="O325" s="170"/>
      <c r="P325" s="170"/>
      <c r="Q325" s="170"/>
      <c r="R325" s="290">
        <v>455.72</v>
      </c>
      <c r="S325" s="291"/>
      <c r="T325" s="63"/>
      <c r="V325" s="83"/>
      <c r="W325" s="83"/>
      <c r="X325" s="67"/>
      <c r="Y325" s="83"/>
    </row>
    <row r="326" spans="1:25" ht="24.75" customHeight="1">
      <c r="A326" s="39"/>
      <c r="B326" s="30"/>
      <c r="C326" s="30"/>
      <c r="D326" s="184" t="s">
        <v>403</v>
      </c>
      <c r="E326" s="185"/>
      <c r="F326" s="185"/>
      <c r="G326" s="185"/>
      <c r="H326" s="185"/>
      <c r="I326" s="185"/>
      <c r="J326" s="185"/>
      <c r="K326" s="186"/>
      <c r="L326" s="140" t="s">
        <v>690</v>
      </c>
      <c r="M326" s="141"/>
      <c r="N326" s="170" t="s">
        <v>682</v>
      </c>
      <c r="O326" s="170"/>
      <c r="P326" s="170"/>
      <c r="Q326" s="170"/>
      <c r="R326" s="290">
        <f>2515.45+2065.88</f>
        <v>4581.33</v>
      </c>
      <c r="S326" s="291"/>
      <c r="T326" s="63"/>
      <c r="V326" s="83"/>
      <c r="W326" s="83"/>
      <c r="X326" s="67"/>
      <c r="Y326" s="83"/>
    </row>
    <row r="327" spans="1:25" ht="24" customHeight="1">
      <c r="A327" s="39"/>
      <c r="B327" s="30"/>
      <c r="C327" s="30"/>
      <c r="D327" s="184" t="s">
        <v>404</v>
      </c>
      <c r="E327" s="185"/>
      <c r="F327" s="185"/>
      <c r="G327" s="185"/>
      <c r="H327" s="185"/>
      <c r="I327" s="185"/>
      <c r="J327" s="185"/>
      <c r="K327" s="186"/>
      <c r="L327" s="140" t="s">
        <v>690</v>
      </c>
      <c r="M327" s="141"/>
      <c r="N327" s="170" t="s">
        <v>682</v>
      </c>
      <c r="O327" s="170"/>
      <c r="P327" s="170"/>
      <c r="Q327" s="170"/>
      <c r="R327" s="290">
        <v>30.7</v>
      </c>
      <c r="S327" s="291"/>
      <c r="T327" s="63"/>
      <c r="V327" s="83"/>
      <c r="W327" s="83"/>
      <c r="X327" s="67"/>
      <c r="Y327" s="83"/>
    </row>
    <row r="328" spans="1:25" ht="19.5" customHeight="1">
      <c r="A328" s="39"/>
      <c r="B328" s="30"/>
      <c r="C328" s="30"/>
      <c r="D328" s="184" t="s">
        <v>405</v>
      </c>
      <c r="E328" s="185"/>
      <c r="F328" s="185"/>
      <c r="G328" s="185"/>
      <c r="H328" s="185"/>
      <c r="I328" s="185"/>
      <c r="J328" s="185"/>
      <c r="K328" s="186"/>
      <c r="L328" s="140" t="s">
        <v>690</v>
      </c>
      <c r="M328" s="141"/>
      <c r="N328" s="170" t="s">
        <v>682</v>
      </c>
      <c r="O328" s="170"/>
      <c r="P328" s="170"/>
      <c r="Q328" s="170"/>
      <c r="R328" s="290">
        <v>97</v>
      </c>
      <c r="S328" s="291"/>
      <c r="T328" s="63"/>
      <c r="V328" s="83"/>
      <c r="W328" s="83"/>
      <c r="X328" s="67"/>
      <c r="Y328" s="83"/>
    </row>
    <row r="329" spans="1:25" ht="19.5" customHeight="1">
      <c r="A329" s="39"/>
      <c r="B329" s="30"/>
      <c r="C329" s="30"/>
      <c r="D329" s="184" t="s">
        <v>406</v>
      </c>
      <c r="E329" s="185"/>
      <c r="F329" s="185"/>
      <c r="G329" s="185"/>
      <c r="H329" s="185"/>
      <c r="I329" s="185"/>
      <c r="J329" s="185"/>
      <c r="K329" s="186"/>
      <c r="L329" s="140" t="s">
        <v>690</v>
      </c>
      <c r="M329" s="141"/>
      <c r="N329" s="170" t="s">
        <v>682</v>
      </c>
      <c r="O329" s="170"/>
      <c r="P329" s="170"/>
      <c r="Q329" s="170"/>
      <c r="R329" s="290">
        <f>511.58+242.03</f>
        <v>753.61</v>
      </c>
      <c r="S329" s="291"/>
      <c r="T329" s="63"/>
      <c r="V329" s="83"/>
      <c r="W329" s="83"/>
      <c r="X329" s="67"/>
      <c r="Y329" s="83"/>
    </row>
    <row r="330" spans="1:25" ht="19.5" customHeight="1">
      <c r="A330" s="39"/>
      <c r="B330" s="30"/>
      <c r="C330" s="30"/>
      <c r="D330" s="184" t="s">
        <v>407</v>
      </c>
      <c r="E330" s="185"/>
      <c r="F330" s="185"/>
      <c r="G330" s="185"/>
      <c r="H330" s="185"/>
      <c r="I330" s="185"/>
      <c r="J330" s="185"/>
      <c r="K330" s="186"/>
      <c r="L330" s="140" t="s">
        <v>690</v>
      </c>
      <c r="M330" s="141"/>
      <c r="N330" s="170" t="s">
        <v>682</v>
      </c>
      <c r="O330" s="170"/>
      <c r="P330" s="170"/>
      <c r="Q330" s="170"/>
      <c r="R330" s="290">
        <v>3</v>
      </c>
      <c r="S330" s="291"/>
      <c r="T330" s="63"/>
      <c r="V330" s="83"/>
      <c r="W330" s="83"/>
      <c r="X330" s="67"/>
      <c r="Y330" s="83"/>
    </row>
    <row r="331" spans="1:25" ht="19.5" customHeight="1">
      <c r="A331" s="39"/>
      <c r="B331" s="30"/>
      <c r="C331" s="30"/>
      <c r="D331" s="402" t="s">
        <v>408</v>
      </c>
      <c r="E331" s="403"/>
      <c r="F331" s="403"/>
      <c r="G331" s="403"/>
      <c r="H331" s="403"/>
      <c r="I331" s="403"/>
      <c r="J331" s="403"/>
      <c r="K331" s="403"/>
      <c r="L331" s="140" t="s">
        <v>690</v>
      </c>
      <c r="M331" s="141"/>
      <c r="N331" s="170" t="s">
        <v>682</v>
      </c>
      <c r="O331" s="170"/>
      <c r="P331" s="170"/>
      <c r="Q331" s="170"/>
      <c r="R331" s="474">
        <f>R332+R333</f>
        <v>24029.866</v>
      </c>
      <c r="S331" s="475"/>
      <c r="T331" s="63"/>
      <c r="V331" s="83"/>
      <c r="W331" s="83"/>
      <c r="X331" s="67"/>
      <c r="Y331" s="83"/>
    </row>
    <row r="332" spans="1:25" ht="69.75" customHeight="1">
      <c r="A332" s="39"/>
      <c r="B332" s="30"/>
      <c r="C332" s="30"/>
      <c r="D332" s="184" t="s">
        <v>373</v>
      </c>
      <c r="E332" s="185"/>
      <c r="F332" s="185"/>
      <c r="G332" s="185"/>
      <c r="H332" s="185"/>
      <c r="I332" s="185"/>
      <c r="J332" s="185"/>
      <c r="K332" s="186"/>
      <c r="L332" s="140" t="s">
        <v>690</v>
      </c>
      <c r="M332" s="141"/>
      <c r="N332" s="170" t="s">
        <v>682</v>
      </c>
      <c r="O332" s="170"/>
      <c r="P332" s="170"/>
      <c r="Q332" s="170"/>
      <c r="R332" s="158">
        <f>17845.146+59.89+63.43+120+73.3</f>
        <v>18161.766</v>
      </c>
      <c r="S332" s="159"/>
      <c r="T332" s="63"/>
      <c r="V332" s="83"/>
      <c r="W332" s="83"/>
      <c r="X332" s="67"/>
      <c r="Y332" s="83"/>
    </row>
    <row r="333" spans="1:25" ht="18" customHeight="1">
      <c r="A333" s="39"/>
      <c r="B333" s="30"/>
      <c r="C333" s="30"/>
      <c r="D333" s="184" t="s">
        <v>409</v>
      </c>
      <c r="E333" s="404"/>
      <c r="F333" s="404"/>
      <c r="G333" s="404"/>
      <c r="H333" s="404"/>
      <c r="I333" s="404"/>
      <c r="J333" s="404"/>
      <c r="K333" s="405"/>
      <c r="L333" s="140" t="s">
        <v>690</v>
      </c>
      <c r="M333" s="141"/>
      <c r="N333" s="144" t="s">
        <v>682</v>
      </c>
      <c r="O333" s="144"/>
      <c r="P333" s="144"/>
      <c r="Q333" s="144"/>
      <c r="R333" s="164">
        <f>1677+3591.1+600</f>
        <v>5868.1</v>
      </c>
      <c r="S333" s="165"/>
      <c r="T333" s="63"/>
      <c r="V333" s="83"/>
      <c r="W333" s="83"/>
      <c r="X333" s="67"/>
      <c r="Y333" s="83"/>
    </row>
    <row r="334" spans="1:25" ht="18" customHeight="1">
      <c r="A334" s="39"/>
      <c r="B334" s="30"/>
      <c r="C334" s="30"/>
      <c r="D334" s="346" t="s">
        <v>410</v>
      </c>
      <c r="E334" s="346"/>
      <c r="F334" s="346"/>
      <c r="G334" s="346"/>
      <c r="H334" s="346"/>
      <c r="I334" s="346"/>
      <c r="J334" s="346"/>
      <c r="K334" s="346"/>
      <c r="L334" s="140" t="s">
        <v>690</v>
      </c>
      <c r="M334" s="141"/>
      <c r="N334" s="144" t="s">
        <v>682</v>
      </c>
      <c r="O334" s="144"/>
      <c r="P334" s="144"/>
      <c r="Q334" s="144"/>
      <c r="R334" s="462">
        <v>158.25</v>
      </c>
      <c r="S334" s="481"/>
      <c r="T334" s="63"/>
      <c r="V334" s="83"/>
      <c r="W334" s="83"/>
      <c r="X334" s="67"/>
      <c r="Y334" s="83"/>
    </row>
    <row r="335" spans="1:25" ht="19.5" customHeight="1">
      <c r="A335" s="39"/>
      <c r="B335" s="30"/>
      <c r="C335" s="30"/>
      <c r="D335" s="402" t="s">
        <v>411</v>
      </c>
      <c r="E335" s="406"/>
      <c r="F335" s="406"/>
      <c r="G335" s="406"/>
      <c r="H335" s="406"/>
      <c r="I335" s="406"/>
      <c r="J335" s="406"/>
      <c r="K335" s="407"/>
      <c r="L335" s="140" t="s">
        <v>690</v>
      </c>
      <c r="M335" s="141"/>
      <c r="N335" s="144" t="s">
        <v>682</v>
      </c>
      <c r="O335" s="144"/>
      <c r="P335" s="144"/>
      <c r="Q335" s="144"/>
      <c r="R335" s="482">
        <f>R336+R337+R338+R339+R340+R341</f>
        <v>8673.02</v>
      </c>
      <c r="S335" s="483"/>
      <c r="T335" s="63"/>
      <c r="V335" s="83"/>
      <c r="W335" s="83"/>
      <c r="X335" s="67"/>
      <c r="Y335" s="83"/>
    </row>
    <row r="336" spans="1:25" ht="34.5" customHeight="1">
      <c r="A336" s="39"/>
      <c r="B336" s="30"/>
      <c r="C336" s="30"/>
      <c r="D336" s="184" t="s">
        <v>412</v>
      </c>
      <c r="E336" s="185"/>
      <c r="F336" s="185"/>
      <c r="G336" s="185"/>
      <c r="H336" s="185"/>
      <c r="I336" s="185"/>
      <c r="J336" s="185"/>
      <c r="K336" s="186"/>
      <c r="L336" s="140" t="s">
        <v>690</v>
      </c>
      <c r="M336" s="141"/>
      <c r="N336" s="144" t="s">
        <v>682</v>
      </c>
      <c r="O336" s="144"/>
      <c r="P336" s="144"/>
      <c r="Q336" s="144"/>
      <c r="R336" s="164">
        <v>980.8</v>
      </c>
      <c r="S336" s="165"/>
      <c r="T336" s="63"/>
      <c r="V336" s="83"/>
      <c r="W336" s="83"/>
      <c r="X336" s="67"/>
      <c r="Y336" s="83"/>
    </row>
    <row r="337" spans="1:25" ht="21.75" customHeight="1">
      <c r="A337" s="39"/>
      <c r="B337" s="30"/>
      <c r="C337" s="30"/>
      <c r="D337" s="184" t="s">
        <v>413</v>
      </c>
      <c r="E337" s="185"/>
      <c r="F337" s="185"/>
      <c r="G337" s="185"/>
      <c r="H337" s="185"/>
      <c r="I337" s="185"/>
      <c r="J337" s="185"/>
      <c r="K337" s="186"/>
      <c r="L337" s="140" t="s">
        <v>690</v>
      </c>
      <c r="M337" s="141"/>
      <c r="N337" s="144" t="s">
        <v>682</v>
      </c>
      <c r="O337" s="144"/>
      <c r="P337" s="144"/>
      <c r="Q337" s="144"/>
      <c r="R337" s="164">
        <v>2757.2</v>
      </c>
      <c r="S337" s="165"/>
      <c r="T337" s="63"/>
      <c r="V337" s="83"/>
      <c r="W337" s="83"/>
      <c r="X337" s="67"/>
      <c r="Y337" s="83"/>
    </row>
    <row r="338" spans="1:25" ht="18" customHeight="1">
      <c r="A338" s="39"/>
      <c r="B338" s="30"/>
      <c r="C338" s="30"/>
      <c r="D338" s="184" t="s">
        <v>414</v>
      </c>
      <c r="E338" s="185"/>
      <c r="F338" s="185"/>
      <c r="G338" s="185"/>
      <c r="H338" s="185"/>
      <c r="I338" s="185"/>
      <c r="J338" s="185"/>
      <c r="K338" s="186"/>
      <c r="L338" s="140" t="s">
        <v>690</v>
      </c>
      <c r="M338" s="141"/>
      <c r="N338" s="144" t="s">
        <v>682</v>
      </c>
      <c r="O338" s="144"/>
      <c r="P338" s="144"/>
      <c r="Q338" s="144"/>
      <c r="R338" s="164">
        <v>906.16</v>
      </c>
      <c r="S338" s="165"/>
      <c r="T338" s="63"/>
      <c r="V338" s="83"/>
      <c r="W338" s="83"/>
      <c r="X338" s="67"/>
      <c r="Y338" s="83"/>
    </row>
    <row r="339" spans="1:25" ht="16.5" customHeight="1">
      <c r="A339" s="39"/>
      <c r="B339" s="30"/>
      <c r="C339" s="30"/>
      <c r="D339" s="184" t="s">
        <v>415</v>
      </c>
      <c r="E339" s="185"/>
      <c r="F339" s="185"/>
      <c r="G339" s="185"/>
      <c r="H339" s="185"/>
      <c r="I339" s="185"/>
      <c r="J339" s="185"/>
      <c r="K339" s="186"/>
      <c r="L339" s="140" t="s">
        <v>690</v>
      </c>
      <c r="M339" s="141"/>
      <c r="N339" s="144" t="s">
        <v>682</v>
      </c>
      <c r="O339" s="144"/>
      <c r="P339" s="144"/>
      <c r="Q339" s="144"/>
      <c r="R339" s="164">
        <v>808.77</v>
      </c>
      <c r="S339" s="165"/>
      <c r="T339" s="63"/>
      <c r="V339" s="83"/>
      <c r="W339" s="83"/>
      <c r="X339" s="67"/>
      <c r="Y339" s="83"/>
    </row>
    <row r="340" spans="1:25" ht="18.75" customHeight="1">
      <c r="A340" s="39"/>
      <c r="B340" s="30"/>
      <c r="C340" s="30"/>
      <c r="D340" s="184" t="s">
        <v>416</v>
      </c>
      <c r="E340" s="185"/>
      <c r="F340" s="185"/>
      <c r="G340" s="185"/>
      <c r="H340" s="185"/>
      <c r="I340" s="185"/>
      <c r="J340" s="185"/>
      <c r="K340" s="186"/>
      <c r="L340" s="140" t="s">
        <v>690</v>
      </c>
      <c r="M340" s="141"/>
      <c r="N340" s="144" t="s">
        <v>682</v>
      </c>
      <c r="O340" s="144"/>
      <c r="P340" s="144"/>
      <c r="Q340" s="144"/>
      <c r="R340" s="164">
        <v>149.85</v>
      </c>
      <c r="S340" s="165"/>
      <c r="T340" s="63"/>
      <c r="V340" s="83"/>
      <c r="W340" s="83"/>
      <c r="X340" s="67"/>
      <c r="Y340" s="83"/>
    </row>
    <row r="341" spans="1:25" ht="19.5" customHeight="1">
      <c r="A341" s="39"/>
      <c r="B341" s="30"/>
      <c r="C341" s="30"/>
      <c r="D341" s="184" t="s">
        <v>417</v>
      </c>
      <c r="E341" s="185"/>
      <c r="F341" s="185"/>
      <c r="G341" s="185"/>
      <c r="H341" s="185"/>
      <c r="I341" s="185"/>
      <c r="J341" s="185"/>
      <c r="K341" s="186"/>
      <c r="L341" s="140" t="s">
        <v>690</v>
      </c>
      <c r="M341" s="141"/>
      <c r="N341" s="144" t="s">
        <v>682</v>
      </c>
      <c r="O341" s="144"/>
      <c r="P341" s="144"/>
      <c r="Q341" s="144"/>
      <c r="R341" s="164">
        <f>2069.79+1000.45</f>
        <v>3070.24</v>
      </c>
      <c r="S341" s="165"/>
      <c r="T341" s="63"/>
      <c r="V341" s="83"/>
      <c r="W341" s="83"/>
      <c r="X341" s="67"/>
      <c r="Y341" s="83"/>
    </row>
    <row r="342" spans="1:25" ht="20.25" customHeight="1">
      <c r="A342" s="39"/>
      <c r="B342" s="30"/>
      <c r="C342" s="30"/>
      <c r="D342" s="181" t="s">
        <v>693</v>
      </c>
      <c r="E342" s="182"/>
      <c r="F342" s="182"/>
      <c r="G342" s="182"/>
      <c r="H342" s="182"/>
      <c r="I342" s="182"/>
      <c r="J342" s="182"/>
      <c r="K342" s="182"/>
      <c r="L342" s="140"/>
      <c r="M342" s="141"/>
      <c r="N342" s="144"/>
      <c r="O342" s="144"/>
      <c r="P342" s="144"/>
      <c r="Q342" s="144"/>
      <c r="R342" s="484"/>
      <c r="S342" s="484"/>
      <c r="T342" s="63"/>
      <c r="V342" s="83"/>
      <c r="W342" s="83"/>
      <c r="X342" s="67"/>
      <c r="Y342" s="83"/>
    </row>
    <row r="343" spans="1:25" ht="33.75" customHeight="1">
      <c r="A343" s="39"/>
      <c r="B343" s="30"/>
      <c r="C343" s="30"/>
      <c r="D343" s="184" t="s">
        <v>418</v>
      </c>
      <c r="E343" s="185"/>
      <c r="F343" s="185"/>
      <c r="G343" s="185"/>
      <c r="H343" s="185"/>
      <c r="I343" s="185"/>
      <c r="J343" s="185"/>
      <c r="K343" s="186"/>
      <c r="L343" s="140" t="s">
        <v>388</v>
      </c>
      <c r="M343" s="319"/>
      <c r="N343" s="144" t="s">
        <v>682</v>
      </c>
      <c r="O343" s="144"/>
      <c r="P343" s="144"/>
      <c r="Q343" s="144"/>
      <c r="R343" s="485">
        <v>347.1</v>
      </c>
      <c r="S343" s="486"/>
      <c r="T343" s="63"/>
      <c r="V343" s="83"/>
      <c r="W343" s="83"/>
      <c r="X343" s="67"/>
      <c r="Y343" s="83"/>
    </row>
    <row r="344" spans="1:25" ht="35.25" customHeight="1">
      <c r="A344" s="39"/>
      <c r="B344" s="30"/>
      <c r="C344" s="30"/>
      <c r="D344" s="184" t="s">
        <v>419</v>
      </c>
      <c r="E344" s="185"/>
      <c r="F344" s="185"/>
      <c r="G344" s="185"/>
      <c r="H344" s="185"/>
      <c r="I344" s="185"/>
      <c r="J344" s="185"/>
      <c r="K344" s="186"/>
      <c r="L344" s="140" t="s">
        <v>681</v>
      </c>
      <c r="M344" s="319"/>
      <c r="N344" s="144" t="s">
        <v>682</v>
      </c>
      <c r="O344" s="144"/>
      <c r="P344" s="144"/>
      <c r="Q344" s="144"/>
      <c r="R344" s="485">
        <v>164</v>
      </c>
      <c r="S344" s="488"/>
      <c r="T344" s="63"/>
      <c r="V344" s="83"/>
      <c r="W344" s="83"/>
      <c r="X344" s="67"/>
      <c r="Y344" s="83"/>
    </row>
    <row r="345" spans="1:25" ht="35.25" customHeight="1">
      <c r="A345" s="39"/>
      <c r="B345" s="30"/>
      <c r="C345" s="30"/>
      <c r="D345" s="184" t="s">
        <v>420</v>
      </c>
      <c r="E345" s="185"/>
      <c r="F345" s="185"/>
      <c r="G345" s="185"/>
      <c r="H345" s="185"/>
      <c r="I345" s="185"/>
      <c r="J345" s="185"/>
      <c r="K345" s="186"/>
      <c r="L345" s="140" t="s">
        <v>647</v>
      </c>
      <c r="M345" s="141"/>
      <c r="N345" s="144" t="s">
        <v>682</v>
      </c>
      <c r="O345" s="144"/>
      <c r="P345" s="144"/>
      <c r="Q345" s="144"/>
      <c r="R345" s="485">
        <v>77.8</v>
      </c>
      <c r="S345" s="486"/>
      <c r="T345" s="63"/>
      <c r="V345" s="83"/>
      <c r="W345" s="83"/>
      <c r="X345" s="67"/>
      <c r="Y345" s="83"/>
    </row>
    <row r="346" spans="1:25" ht="21" customHeight="1">
      <c r="A346" s="39"/>
      <c r="B346" s="30"/>
      <c r="C346" s="30"/>
      <c r="D346" s="184" t="s">
        <v>421</v>
      </c>
      <c r="E346" s="185"/>
      <c r="F346" s="185"/>
      <c r="G346" s="185"/>
      <c r="H346" s="185"/>
      <c r="I346" s="185"/>
      <c r="J346" s="185"/>
      <c r="K346" s="186"/>
      <c r="L346" s="140" t="s">
        <v>647</v>
      </c>
      <c r="M346" s="141"/>
      <c r="N346" s="144" t="s">
        <v>682</v>
      </c>
      <c r="O346" s="144"/>
      <c r="P346" s="144"/>
      <c r="Q346" s="144"/>
      <c r="R346" s="485">
        <v>1038</v>
      </c>
      <c r="S346" s="486"/>
      <c r="T346" s="63"/>
      <c r="V346" s="83"/>
      <c r="W346" s="83"/>
      <c r="X346" s="67"/>
      <c r="Y346" s="83"/>
    </row>
    <row r="347" spans="1:25" ht="16.5" customHeight="1" hidden="1">
      <c r="A347" s="39"/>
      <c r="B347" s="30"/>
      <c r="C347" s="30"/>
      <c r="D347" s="316" t="s">
        <v>27</v>
      </c>
      <c r="E347" s="317"/>
      <c r="F347" s="317"/>
      <c r="G347" s="317"/>
      <c r="H347" s="317"/>
      <c r="I347" s="317"/>
      <c r="J347" s="317"/>
      <c r="K347" s="318"/>
      <c r="L347" s="140" t="s">
        <v>331</v>
      </c>
      <c r="M347" s="141"/>
      <c r="N347" s="140" t="s">
        <v>682</v>
      </c>
      <c r="O347" s="142"/>
      <c r="P347" s="142"/>
      <c r="Q347" s="141"/>
      <c r="R347" s="485">
        <v>0</v>
      </c>
      <c r="S347" s="486"/>
      <c r="T347" s="63"/>
      <c r="V347" s="83"/>
      <c r="W347" s="83"/>
      <c r="X347" s="67"/>
      <c r="Y347" s="83"/>
    </row>
    <row r="348" spans="1:25" ht="16.5" customHeight="1">
      <c r="A348" s="39"/>
      <c r="B348" s="30"/>
      <c r="C348" s="30"/>
      <c r="D348" s="161" t="s">
        <v>27</v>
      </c>
      <c r="E348" s="162"/>
      <c r="F348" s="162"/>
      <c r="G348" s="162"/>
      <c r="H348" s="162"/>
      <c r="I348" s="162"/>
      <c r="J348" s="162"/>
      <c r="K348" s="163"/>
      <c r="L348" s="400" t="s">
        <v>758</v>
      </c>
      <c r="M348" s="401"/>
      <c r="N348" s="140" t="s">
        <v>682</v>
      </c>
      <c r="O348" s="142"/>
      <c r="P348" s="142"/>
      <c r="Q348" s="141"/>
      <c r="R348" s="485">
        <v>16</v>
      </c>
      <c r="S348" s="486"/>
      <c r="T348" s="63"/>
      <c r="V348" s="83"/>
      <c r="W348" s="83"/>
      <c r="X348" s="67"/>
      <c r="Y348" s="83"/>
    </row>
    <row r="349" spans="1:25" ht="35.25" customHeight="1">
      <c r="A349" s="39"/>
      <c r="B349" s="30"/>
      <c r="C349" s="30"/>
      <c r="D349" s="184" t="s">
        <v>422</v>
      </c>
      <c r="E349" s="185"/>
      <c r="F349" s="185"/>
      <c r="G349" s="185"/>
      <c r="H349" s="185"/>
      <c r="I349" s="185"/>
      <c r="J349" s="185"/>
      <c r="K349" s="186"/>
      <c r="L349" s="140" t="s">
        <v>647</v>
      </c>
      <c r="M349" s="141"/>
      <c r="N349" s="144" t="s">
        <v>682</v>
      </c>
      <c r="O349" s="144"/>
      <c r="P349" s="144"/>
      <c r="Q349" s="144"/>
      <c r="R349" s="280">
        <v>1000</v>
      </c>
      <c r="S349" s="281"/>
      <c r="T349" s="63"/>
      <c r="V349" s="83"/>
      <c r="W349" s="83"/>
      <c r="X349" s="67"/>
      <c r="Y349" s="83"/>
    </row>
    <row r="350" spans="1:25" ht="20.25" customHeight="1">
      <c r="A350" s="39"/>
      <c r="B350" s="30"/>
      <c r="C350" s="30"/>
      <c r="D350" s="184" t="s">
        <v>423</v>
      </c>
      <c r="E350" s="185"/>
      <c r="F350" s="185"/>
      <c r="G350" s="185"/>
      <c r="H350" s="185"/>
      <c r="I350" s="185"/>
      <c r="J350" s="185"/>
      <c r="K350" s="186"/>
      <c r="L350" s="140" t="s">
        <v>647</v>
      </c>
      <c r="M350" s="141"/>
      <c r="N350" s="144" t="s">
        <v>682</v>
      </c>
      <c r="O350" s="144"/>
      <c r="P350" s="144"/>
      <c r="Q350" s="144"/>
      <c r="R350" s="351">
        <v>14286</v>
      </c>
      <c r="S350" s="352"/>
      <c r="T350" s="63"/>
      <c r="V350" s="83"/>
      <c r="W350" s="83"/>
      <c r="X350" s="67"/>
      <c r="Y350" s="83"/>
    </row>
    <row r="351" spans="1:25" ht="35.25" customHeight="1">
      <c r="A351" s="39"/>
      <c r="B351" s="30"/>
      <c r="C351" s="30"/>
      <c r="D351" s="184" t="s">
        <v>424</v>
      </c>
      <c r="E351" s="185"/>
      <c r="F351" s="185"/>
      <c r="G351" s="185"/>
      <c r="H351" s="185"/>
      <c r="I351" s="185"/>
      <c r="J351" s="185"/>
      <c r="K351" s="186"/>
      <c r="L351" s="140" t="s">
        <v>647</v>
      </c>
      <c r="M351" s="141"/>
      <c r="N351" s="144" t="s">
        <v>682</v>
      </c>
      <c r="O351" s="144"/>
      <c r="P351" s="144"/>
      <c r="Q351" s="144"/>
      <c r="R351" s="280">
        <v>16000</v>
      </c>
      <c r="S351" s="281"/>
      <c r="T351" s="63"/>
      <c r="V351" s="83"/>
      <c r="W351" s="83"/>
      <c r="X351" s="67"/>
      <c r="Y351" s="83"/>
    </row>
    <row r="352" spans="1:25" ht="36" customHeight="1">
      <c r="A352" s="39"/>
      <c r="B352" s="30"/>
      <c r="C352" s="30"/>
      <c r="D352" s="184" t="s">
        <v>425</v>
      </c>
      <c r="E352" s="185"/>
      <c r="F352" s="185"/>
      <c r="G352" s="185"/>
      <c r="H352" s="185"/>
      <c r="I352" s="185"/>
      <c r="J352" s="185"/>
      <c r="K352" s="186"/>
      <c r="L352" s="140" t="s">
        <v>647</v>
      </c>
      <c r="M352" s="141"/>
      <c r="N352" s="144" t="s">
        <v>682</v>
      </c>
      <c r="O352" s="144"/>
      <c r="P352" s="144"/>
      <c r="Q352" s="144"/>
      <c r="R352" s="280">
        <v>119</v>
      </c>
      <c r="S352" s="281"/>
      <c r="T352" s="63"/>
      <c r="V352" s="83"/>
      <c r="W352" s="83"/>
      <c r="X352" s="67"/>
      <c r="Y352" s="83"/>
    </row>
    <row r="353" spans="1:25" ht="34.5" customHeight="1">
      <c r="A353" s="39"/>
      <c r="B353" s="30"/>
      <c r="C353" s="30"/>
      <c r="D353" s="184" t="s">
        <v>426</v>
      </c>
      <c r="E353" s="185"/>
      <c r="F353" s="185"/>
      <c r="G353" s="185"/>
      <c r="H353" s="185"/>
      <c r="I353" s="185"/>
      <c r="J353" s="185"/>
      <c r="K353" s="186"/>
      <c r="L353" s="140" t="s">
        <v>647</v>
      </c>
      <c r="M353" s="141"/>
      <c r="N353" s="144" t="s">
        <v>682</v>
      </c>
      <c r="O353" s="144"/>
      <c r="P353" s="144"/>
      <c r="Q353" s="144"/>
      <c r="R353" s="280">
        <v>3532</v>
      </c>
      <c r="S353" s="281"/>
      <c r="T353" s="63"/>
      <c r="V353" s="83"/>
      <c r="W353" s="83"/>
      <c r="X353" s="67"/>
      <c r="Y353" s="83"/>
    </row>
    <row r="354" spans="1:25" ht="16.5" customHeight="1">
      <c r="A354" s="39"/>
      <c r="B354" s="30"/>
      <c r="C354" s="30"/>
      <c r="D354" s="340" t="s">
        <v>427</v>
      </c>
      <c r="E354" s="341"/>
      <c r="F354" s="341"/>
      <c r="G354" s="341"/>
      <c r="H354" s="341"/>
      <c r="I354" s="341"/>
      <c r="J354" s="341"/>
      <c r="K354" s="342"/>
      <c r="L354" s="140" t="s">
        <v>294</v>
      </c>
      <c r="M354" s="141"/>
      <c r="N354" s="144" t="s">
        <v>682</v>
      </c>
      <c r="O354" s="144"/>
      <c r="P354" s="144"/>
      <c r="Q354" s="144"/>
      <c r="R354" s="280">
        <v>1461</v>
      </c>
      <c r="S354" s="281"/>
      <c r="T354" s="63"/>
      <c r="V354" s="83"/>
      <c r="W354" s="83"/>
      <c r="X354" s="67"/>
      <c r="Y354" s="83"/>
    </row>
    <row r="355" spans="1:25" ht="18" customHeight="1">
      <c r="A355" s="39"/>
      <c r="B355" s="30"/>
      <c r="C355" s="30"/>
      <c r="D355" s="343"/>
      <c r="E355" s="344"/>
      <c r="F355" s="344"/>
      <c r="G355" s="344"/>
      <c r="H355" s="344"/>
      <c r="I355" s="344"/>
      <c r="J355" s="344"/>
      <c r="K355" s="345"/>
      <c r="L355" s="140" t="s">
        <v>388</v>
      </c>
      <c r="M355" s="141"/>
      <c r="N355" s="144" t="s">
        <v>682</v>
      </c>
      <c r="O355" s="144"/>
      <c r="P355" s="144"/>
      <c r="Q355" s="144"/>
      <c r="R355" s="485">
        <v>4489</v>
      </c>
      <c r="S355" s="486"/>
      <c r="T355" s="63"/>
      <c r="V355" s="83"/>
      <c r="W355" s="83"/>
      <c r="X355" s="67"/>
      <c r="Y355" s="83"/>
    </row>
    <row r="356" spans="1:25" ht="19.5" customHeight="1">
      <c r="A356" s="39"/>
      <c r="B356" s="30"/>
      <c r="C356" s="30"/>
      <c r="D356" s="184" t="s">
        <v>428</v>
      </c>
      <c r="E356" s="185"/>
      <c r="F356" s="185"/>
      <c r="G356" s="185"/>
      <c r="H356" s="185"/>
      <c r="I356" s="185"/>
      <c r="J356" s="185"/>
      <c r="K356" s="186"/>
      <c r="L356" s="140" t="s">
        <v>631</v>
      </c>
      <c r="M356" s="141"/>
      <c r="N356" s="144" t="s">
        <v>682</v>
      </c>
      <c r="O356" s="144"/>
      <c r="P356" s="144"/>
      <c r="Q356" s="144"/>
      <c r="R356" s="295">
        <v>3.69</v>
      </c>
      <c r="S356" s="296"/>
      <c r="T356" s="63"/>
      <c r="V356" s="83"/>
      <c r="W356" s="83"/>
      <c r="X356" s="67"/>
      <c r="Y356" s="83"/>
    </row>
    <row r="357" spans="1:25" ht="37.5" customHeight="1">
      <c r="A357" s="39"/>
      <c r="B357" s="30"/>
      <c r="C357" s="30"/>
      <c r="D357" s="337" t="s">
        <v>429</v>
      </c>
      <c r="E357" s="338"/>
      <c r="F357" s="338"/>
      <c r="G357" s="338"/>
      <c r="H357" s="338"/>
      <c r="I357" s="338"/>
      <c r="J357" s="338"/>
      <c r="K357" s="339"/>
      <c r="L357" s="140" t="s">
        <v>631</v>
      </c>
      <c r="M357" s="319"/>
      <c r="N357" s="144" t="s">
        <v>682</v>
      </c>
      <c r="O357" s="144"/>
      <c r="P357" s="144"/>
      <c r="Q357" s="144"/>
      <c r="R357" s="499">
        <v>210</v>
      </c>
      <c r="S357" s="500"/>
      <c r="T357" s="63"/>
      <c r="V357" s="83"/>
      <c r="W357" s="83"/>
      <c r="X357" s="67"/>
      <c r="Y357" s="83"/>
    </row>
    <row r="358" spans="1:25" ht="19.5" customHeight="1">
      <c r="A358" s="39"/>
      <c r="B358" s="30"/>
      <c r="C358" s="30"/>
      <c r="D358" s="292" t="s">
        <v>489</v>
      </c>
      <c r="E358" s="293"/>
      <c r="F358" s="293"/>
      <c r="G358" s="293"/>
      <c r="H358" s="293"/>
      <c r="I358" s="293"/>
      <c r="J358" s="293"/>
      <c r="K358" s="294"/>
      <c r="L358" s="140" t="s">
        <v>488</v>
      </c>
      <c r="M358" s="319"/>
      <c r="N358" s="144" t="s">
        <v>682</v>
      </c>
      <c r="O358" s="144"/>
      <c r="P358" s="144"/>
      <c r="Q358" s="144"/>
      <c r="R358" s="478">
        <v>13380</v>
      </c>
      <c r="S358" s="479"/>
      <c r="T358" s="63"/>
      <c r="V358" s="83"/>
      <c r="W358" s="83"/>
      <c r="X358" s="67"/>
      <c r="Y358" s="83"/>
    </row>
    <row r="359" spans="1:25" ht="18.75" customHeight="1">
      <c r="A359" s="39"/>
      <c r="B359" s="30"/>
      <c r="C359" s="30"/>
      <c r="D359" s="337" t="s">
        <v>430</v>
      </c>
      <c r="E359" s="376"/>
      <c r="F359" s="376"/>
      <c r="G359" s="376"/>
      <c r="H359" s="376"/>
      <c r="I359" s="376"/>
      <c r="J359" s="376"/>
      <c r="K359" s="377"/>
      <c r="L359" s="140" t="s">
        <v>681</v>
      </c>
      <c r="M359" s="141"/>
      <c r="N359" s="144" t="s">
        <v>682</v>
      </c>
      <c r="O359" s="144"/>
      <c r="P359" s="144"/>
      <c r="Q359" s="144"/>
      <c r="R359" s="153">
        <v>8</v>
      </c>
      <c r="S359" s="487"/>
      <c r="T359" s="63"/>
      <c r="V359" s="83"/>
      <c r="W359" s="83"/>
      <c r="X359" s="67"/>
      <c r="Y359" s="83"/>
    </row>
    <row r="360" spans="1:25" ht="18.75" customHeight="1">
      <c r="A360" s="39"/>
      <c r="B360" s="30"/>
      <c r="C360" s="30"/>
      <c r="D360" s="337" t="s">
        <v>431</v>
      </c>
      <c r="E360" s="376"/>
      <c r="F360" s="376"/>
      <c r="G360" s="376"/>
      <c r="H360" s="376"/>
      <c r="I360" s="376"/>
      <c r="J360" s="376"/>
      <c r="K360" s="377"/>
      <c r="L360" s="140" t="s">
        <v>737</v>
      </c>
      <c r="M360" s="141"/>
      <c r="N360" s="144" t="s">
        <v>682</v>
      </c>
      <c r="O360" s="144"/>
      <c r="P360" s="144"/>
      <c r="Q360" s="144"/>
      <c r="R360" s="153">
        <v>265</v>
      </c>
      <c r="S360" s="487"/>
      <c r="T360" s="63"/>
      <c r="V360" s="83"/>
      <c r="W360" s="83"/>
      <c r="X360" s="67"/>
      <c r="Y360" s="83"/>
    </row>
    <row r="361" spans="1:25" ht="18.75" customHeight="1">
      <c r="A361" s="39"/>
      <c r="B361" s="30"/>
      <c r="C361" s="30"/>
      <c r="D361" s="337" t="s">
        <v>432</v>
      </c>
      <c r="E361" s="376"/>
      <c r="F361" s="376"/>
      <c r="G361" s="376"/>
      <c r="H361" s="376"/>
      <c r="I361" s="376"/>
      <c r="J361" s="376"/>
      <c r="K361" s="377"/>
      <c r="L361" s="140" t="s">
        <v>759</v>
      </c>
      <c r="M361" s="141"/>
      <c r="N361" s="144" t="s">
        <v>682</v>
      </c>
      <c r="O361" s="144"/>
      <c r="P361" s="144"/>
      <c r="Q361" s="144"/>
      <c r="R361" s="153">
        <v>100</v>
      </c>
      <c r="S361" s="487"/>
      <c r="T361" s="63"/>
      <c r="V361" s="83"/>
      <c r="W361" s="83"/>
      <c r="X361" s="67"/>
      <c r="Y361" s="83"/>
    </row>
    <row r="362" spans="1:25" ht="35.25" customHeight="1">
      <c r="A362" s="39"/>
      <c r="B362" s="30"/>
      <c r="C362" s="30"/>
      <c r="D362" s="337" t="s">
        <v>433</v>
      </c>
      <c r="E362" s="376"/>
      <c r="F362" s="376"/>
      <c r="G362" s="376"/>
      <c r="H362" s="376"/>
      <c r="I362" s="376"/>
      <c r="J362" s="376"/>
      <c r="K362" s="377"/>
      <c r="L362" s="140" t="s">
        <v>681</v>
      </c>
      <c r="M362" s="141"/>
      <c r="N362" s="144" t="s">
        <v>682</v>
      </c>
      <c r="O362" s="144"/>
      <c r="P362" s="144"/>
      <c r="Q362" s="144"/>
      <c r="R362" s="153">
        <v>919</v>
      </c>
      <c r="S362" s="487"/>
      <c r="T362" s="63"/>
      <c r="V362" s="83"/>
      <c r="W362" s="83"/>
      <c r="X362" s="67"/>
      <c r="Y362" s="83"/>
    </row>
    <row r="363" spans="1:25" ht="18" customHeight="1">
      <c r="A363" s="39"/>
      <c r="B363" s="30"/>
      <c r="C363" s="30"/>
      <c r="D363" s="337" t="s">
        <v>434</v>
      </c>
      <c r="E363" s="376"/>
      <c r="F363" s="376"/>
      <c r="G363" s="376"/>
      <c r="H363" s="376"/>
      <c r="I363" s="376"/>
      <c r="J363" s="376"/>
      <c r="K363" s="377"/>
      <c r="L363" s="140" t="s">
        <v>388</v>
      </c>
      <c r="M363" s="141"/>
      <c r="N363" s="144" t="s">
        <v>682</v>
      </c>
      <c r="O363" s="144"/>
      <c r="P363" s="144"/>
      <c r="Q363" s="144"/>
      <c r="R363" s="164">
        <v>2280</v>
      </c>
      <c r="S363" s="405"/>
      <c r="T363" s="63"/>
      <c r="V363" s="83"/>
      <c r="W363" s="83"/>
      <c r="X363" s="67"/>
      <c r="Y363" s="83"/>
    </row>
    <row r="364" spans="1:25" ht="20.25" customHeight="1">
      <c r="A364" s="39"/>
      <c r="B364" s="30"/>
      <c r="C364" s="30"/>
      <c r="D364" s="337" t="s">
        <v>547</v>
      </c>
      <c r="E364" s="376"/>
      <c r="F364" s="376"/>
      <c r="G364" s="376"/>
      <c r="H364" s="376"/>
      <c r="I364" s="376"/>
      <c r="J364" s="376"/>
      <c r="K364" s="377"/>
      <c r="L364" s="140" t="s">
        <v>647</v>
      </c>
      <c r="M364" s="141"/>
      <c r="N364" s="144" t="s">
        <v>682</v>
      </c>
      <c r="O364" s="144"/>
      <c r="P364" s="144"/>
      <c r="Q364" s="144"/>
      <c r="R364" s="164">
        <f>19650+7192</f>
        <v>26842</v>
      </c>
      <c r="S364" s="501"/>
      <c r="T364" s="63"/>
      <c r="V364" s="83"/>
      <c r="W364" s="83"/>
      <c r="X364" s="67"/>
      <c r="Y364" s="83"/>
    </row>
    <row r="365" spans="1:25" ht="16.5" customHeight="1">
      <c r="A365" s="39"/>
      <c r="B365" s="30"/>
      <c r="C365" s="30"/>
      <c r="D365" s="181" t="s">
        <v>694</v>
      </c>
      <c r="E365" s="182"/>
      <c r="F365" s="182"/>
      <c r="G365" s="182"/>
      <c r="H365" s="182"/>
      <c r="I365" s="182"/>
      <c r="J365" s="182"/>
      <c r="K365" s="182"/>
      <c r="L365" s="140"/>
      <c r="M365" s="141"/>
      <c r="N365" s="144"/>
      <c r="O365" s="144"/>
      <c r="P365" s="144"/>
      <c r="Q365" s="144"/>
      <c r="R365" s="170"/>
      <c r="S365" s="170"/>
      <c r="T365" s="63"/>
      <c r="V365" s="83"/>
      <c r="W365" s="83"/>
      <c r="X365" s="67"/>
      <c r="Y365" s="83"/>
    </row>
    <row r="366" spans="1:28" ht="38.25" customHeight="1">
      <c r="A366" s="39"/>
      <c r="B366" s="30"/>
      <c r="C366" s="30"/>
      <c r="D366" s="184" t="s">
        <v>435</v>
      </c>
      <c r="E366" s="185"/>
      <c r="F366" s="185"/>
      <c r="G366" s="185"/>
      <c r="H366" s="185"/>
      <c r="I366" s="185"/>
      <c r="J366" s="185"/>
      <c r="K366" s="186"/>
      <c r="L366" s="140" t="s">
        <v>695</v>
      </c>
      <c r="M366" s="319"/>
      <c r="N366" s="144" t="s">
        <v>603</v>
      </c>
      <c r="O366" s="144"/>
      <c r="P366" s="144"/>
      <c r="Q366" s="144"/>
      <c r="R366" s="295">
        <f>R319/R343*1000</f>
        <v>194.7565543071161</v>
      </c>
      <c r="S366" s="296"/>
      <c r="T366" s="63"/>
      <c r="V366" s="83"/>
      <c r="W366" s="83"/>
      <c r="X366" s="86"/>
      <c r="Y366" s="83"/>
      <c r="AB366">
        <f>R366*R343</f>
        <v>67600</v>
      </c>
    </row>
    <row r="367" spans="1:28" ht="34.5" customHeight="1">
      <c r="A367" s="39"/>
      <c r="B367" s="30"/>
      <c r="C367" s="30"/>
      <c r="D367" s="184" t="s">
        <v>436</v>
      </c>
      <c r="E367" s="185"/>
      <c r="F367" s="185"/>
      <c r="G367" s="185"/>
      <c r="H367" s="185"/>
      <c r="I367" s="185"/>
      <c r="J367" s="185"/>
      <c r="K367" s="186"/>
      <c r="L367" s="140" t="s">
        <v>389</v>
      </c>
      <c r="M367" s="319"/>
      <c r="N367" s="144" t="s">
        <v>603</v>
      </c>
      <c r="O367" s="144"/>
      <c r="P367" s="144"/>
      <c r="Q367" s="144"/>
      <c r="R367" s="295">
        <f>R320/R344*1000</f>
        <v>1025</v>
      </c>
      <c r="S367" s="489"/>
      <c r="T367" s="63"/>
      <c r="V367" s="83"/>
      <c r="W367" s="83"/>
      <c r="X367" s="86"/>
      <c r="Y367" s="83"/>
      <c r="AB367">
        <f>R367*R344</f>
        <v>168100</v>
      </c>
    </row>
    <row r="368" spans="1:28" ht="33" customHeight="1">
      <c r="A368" s="39"/>
      <c r="B368" s="30"/>
      <c r="C368" s="30"/>
      <c r="D368" s="184" t="s">
        <v>437</v>
      </c>
      <c r="E368" s="185"/>
      <c r="F368" s="185"/>
      <c r="G368" s="185"/>
      <c r="H368" s="185"/>
      <c r="I368" s="185"/>
      <c r="J368" s="185"/>
      <c r="K368" s="186"/>
      <c r="L368" s="140" t="s">
        <v>389</v>
      </c>
      <c r="M368" s="141"/>
      <c r="N368" s="144" t="s">
        <v>603</v>
      </c>
      <c r="O368" s="144"/>
      <c r="P368" s="144"/>
      <c r="Q368" s="144"/>
      <c r="R368" s="295">
        <f>R321/R345*1000</f>
        <v>586.1182519280205</v>
      </c>
      <c r="S368" s="296"/>
      <c r="T368" s="63"/>
      <c r="V368" s="83"/>
      <c r="W368" s="83"/>
      <c r="X368" s="86"/>
      <c r="Y368" s="83"/>
      <c r="AB368">
        <f>R368*R345</f>
        <v>45599.99999999999</v>
      </c>
    </row>
    <row r="369" spans="1:28" ht="19.5" customHeight="1">
      <c r="A369" s="39"/>
      <c r="B369" s="30"/>
      <c r="C369" s="30"/>
      <c r="D369" s="184" t="s">
        <v>438</v>
      </c>
      <c r="E369" s="185"/>
      <c r="F369" s="185"/>
      <c r="G369" s="185"/>
      <c r="H369" s="185"/>
      <c r="I369" s="185"/>
      <c r="J369" s="185"/>
      <c r="K369" s="186"/>
      <c r="L369" s="140" t="s">
        <v>389</v>
      </c>
      <c r="M369" s="141"/>
      <c r="N369" s="144" t="s">
        <v>603</v>
      </c>
      <c r="O369" s="144"/>
      <c r="P369" s="144"/>
      <c r="Q369" s="144"/>
      <c r="R369" s="312">
        <f>R322/R346*1000</f>
        <v>36.09826589595375</v>
      </c>
      <c r="S369" s="313"/>
      <c r="T369" s="63"/>
      <c r="V369" s="83"/>
      <c r="W369" s="83"/>
      <c r="X369" s="86"/>
      <c r="Y369" s="83"/>
      <c r="AB369">
        <f>R369*R346</f>
        <v>37469.99999999999</v>
      </c>
    </row>
    <row r="370" spans="1:28" ht="22.5" customHeight="1">
      <c r="A370" s="39"/>
      <c r="B370" s="30"/>
      <c r="C370" s="30"/>
      <c r="D370" s="161" t="s">
        <v>28</v>
      </c>
      <c r="E370" s="162"/>
      <c r="F370" s="162"/>
      <c r="G370" s="162"/>
      <c r="H370" s="162"/>
      <c r="I370" s="162"/>
      <c r="J370" s="162"/>
      <c r="K370" s="163"/>
      <c r="L370" s="400" t="s">
        <v>390</v>
      </c>
      <c r="M370" s="401"/>
      <c r="N370" s="144" t="s">
        <v>603</v>
      </c>
      <c r="O370" s="144"/>
      <c r="P370" s="144"/>
      <c r="Q370" s="144"/>
      <c r="R370" s="295">
        <f aca="true" t="shared" si="2" ref="R370:R375">R323/R348*1000</f>
        <v>7662.5</v>
      </c>
      <c r="S370" s="296"/>
      <c r="T370" s="63"/>
      <c r="V370" s="83"/>
      <c r="W370" s="83"/>
      <c r="X370" s="86"/>
      <c r="Y370" s="83"/>
      <c r="AB370">
        <f aca="true" t="shared" si="3" ref="AB370:AB377">R370*R348</f>
        <v>122600</v>
      </c>
    </row>
    <row r="371" spans="1:28" ht="33" customHeight="1">
      <c r="A371" s="39"/>
      <c r="B371" s="30"/>
      <c r="C371" s="30"/>
      <c r="D371" s="184" t="s">
        <v>439</v>
      </c>
      <c r="E371" s="185"/>
      <c r="F371" s="185"/>
      <c r="G371" s="185"/>
      <c r="H371" s="185"/>
      <c r="I371" s="185"/>
      <c r="J371" s="185"/>
      <c r="K371" s="186"/>
      <c r="L371" s="140" t="s">
        <v>389</v>
      </c>
      <c r="M371" s="141"/>
      <c r="N371" s="144" t="s">
        <v>603</v>
      </c>
      <c r="O371" s="144"/>
      <c r="P371" s="144"/>
      <c r="Q371" s="144"/>
      <c r="R371" s="295">
        <f t="shared" si="2"/>
        <v>39.7</v>
      </c>
      <c r="S371" s="296"/>
      <c r="T371" s="63"/>
      <c r="V371" s="83"/>
      <c r="W371" s="83"/>
      <c r="X371" s="86"/>
      <c r="Y371" s="83"/>
      <c r="AB371">
        <f t="shared" si="3"/>
        <v>39700</v>
      </c>
    </row>
    <row r="372" spans="1:28" ht="28.5" customHeight="1">
      <c r="A372" s="39"/>
      <c r="B372" s="30"/>
      <c r="C372" s="30"/>
      <c r="D372" s="184" t="s">
        <v>440</v>
      </c>
      <c r="E372" s="185"/>
      <c r="F372" s="185"/>
      <c r="G372" s="185"/>
      <c r="H372" s="185"/>
      <c r="I372" s="185"/>
      <c r="J372" s="185"/>
      <c r="K372" s="186"/>
      <c r="L372" s="140" t="s">
        <v>389</v>
      </c>
      <c r="M372" s="141"/>
      <c r="N372" s="144" t="s">
        <v>603</v>
      </c>
      <c r="O372" s="144"/>
      <c r="P372" s="144"/>
      <c r="Q372" s="144"/>
      <c r="R372" s="312">
        <f t="shared" si="2"/>
        <v>31.899762004759907</v>
      </c>
      <c r="S372" s="313"/>
      <c r="T372" s="63"/>
      <c r="V372" s="83"/>
      <c r="W372" s="83"/>
      <c r="X372" s="86"/>
      <c r="Y372" s="83"/>
      <c r="AB372">
        <f t="shared" si="3"/>
        <v>455720.00000000006</v>
      </c>
    </row>
    <row r="373" spans="1:28" ht="36.75" customHeight="1">
      <c r="A373" s="39"/>
      <c r="B373" s="30"/>
      <c r="C373" s="30"/>
      <c r="D373" s="184" t="s">
        <v>441</v>
      </c>
      <c r="E373" s="185"/>
      <c r="F373" s="185"/>
      <c r="G373" s="185"/>
      <c r="H373" s="185"/>
      <c r="I373" s="185"/>
      <c r="J373" s="185"/>
      <c r="K373" s="186"/>
      <c r="L373" s="140" t="s">
        <v>389</v>
      </c>
      <c r="M373" s="141"/>
      <c r="N373" s="144" t="s">
        <v>603</v>
      </c>
      <c r="O373" s="144"/>
      <c r="P373" s="144"/>
      <c r="Q373" s="144"/>
      <c r="R373" s="295">
        <f t="shared" si="2"/>
        <v>286.333125</v>
      </c>
      <c r="S373" s="296"/>
      <c r="T373" s="63"/>
      <c r="V373" s="83"/>
      <c r="W373" s="83"/>
      <c r="X373" s="86"/>
      <c r="Y373" s="83"/>
      <c r="AB373">
        <f t="shared" si="3"/>
        <v>4581330</v>
      </c>
    </row>
    <row r="374" spans="1:28" ht="35.25" customHeight="1">
      <c r="A374" s="39"/>
      <c r="B374" s="30"/>
      <c r="C374" s="30"/>
      <c r="D374" s="184" t="s">
        <v>442</v>
      </c>
      <c r="E374" s="185"/>
      <c r="F374" s="185"/>
      <c r="G374" s="185"/>
      <c r="H374" s="185"/>
      <c r="I374" s="185"/>
      <c r="J374" s="185"/>
      <c r="K374" s="186"/>
      <c r="L374" s="140" t="s">
        <v>389</v>
      </c>
      <c r="M374" s="141"/>
      <c r="N374" s="144" t="s">
        <v>603</v>
      </c>
      <c r="O374" s="144"/>
      <c r="P374" s="144"/>
      <c r="Q374" s="144"/>
      <c r="R374" s="295">
        <f t="shared" si="2"/>
        <v>257.9831932773109</v>
      </c>
      <c r="S374" s="296"/>
      <c r="T374" s="63"/>
      <c r="V374" s="83"/>
      <c r="W374" s="83"/>
      <c r="X374" s="86"/>
      <c r="Y374" s="83"/>
      <c r="AB374">
        <f t="shared" si="3"/>
        <v>30699.999999999993</v>
      </c>
    </row>
    <row r="375" spans="1:28" ht="35.25" customHeight="1">
      <c r="A375" s="39"/>
      <c r="B375" s="30"/>
      <c r="C375" s="30"/>
      <c r="D375" s="184" t="s">
        <v>443</v>
      </c>
      <c r="E375" s="185"/>
      <c r="F375" s="185"/>
      <c r="G375" s="185"/>
      <c r="H375" s="185"/>
      <c r="I375" s="185"/>
      <c r="J375" s="185"/>
      <c r="K375" s="186"/>
      <c r="L375" s="140" t="s">
        <v>389</v>
      </c>
      <c r="M375" s="141"/>
      <c r="N375" s="144" t="s">
        <v>603</v>
      </c>
      <c r="O375" s="144"/>
      <c r="P375" s="144"/>
      <c r="Q375" s="144"/>
      <c r="R375" s="295">
        <f t="shared" si="2"/>
        <v>27.463193657984146</v>
      </c>
      <c r="S375" s="296"/>
      <c r="T375" s="63"/>
      <c r="V375" s="83"/>
      <c r="W375" s="83"/>
      <c r="X375" s="86"/>
      <c r="Y375" s="83"/>
      <c r="AB375">
        <f t="shared" si="3"/>
        <v>97000</v>
      </c>
    </row>
    <row r="376" spans="1:28" ht="33" customHeight="1">
      <c r="A376" s="39"/>
      <c r="B376" s="30"/>
      <c r="C376" s="30"/>
      <c r="D376" s="340" t="s">
        <v>444</v>
      </c>
      <c r="E376" s="341"/>
      <c r="F376" s="341"/>
      <c r="G376" s="341"/>
      <c r="H376" s="341"/>
      <c r="I376" s="341"/>
      <c r="J376" s="341"/>
      <c r="K376" s="342"/>
      <c r="L376" s="140" t="s">
        <v>391</v>
      </c>
      <c r="M376" s="141"/>
      <c r="N376" s="144" t="s">
        <v>603</v>
      </c>
      <c r="O376" s="144"/>
      <c r="P376" s="144"/>
      <c r="Q376" s="144"/>
      <c r="R376" s="295">
        <v>241.4</v>
      </c>
      <c r="S376" s="296"/>
      <c r="T376" s="63"/>
      <c r="V376" s="83"/>
      <c r="W376" s="83"/>
      <c r="X376" s="86"/>
      <c r="Y376" s="83"/>
      <c r="AB376">
        <f t="shared" si="3"/>
        <v>352685.4</v>
      </c>
    </row>
    <row r="377" spans="1:28" ht="20.25" customHeight="1">
      <c r="A377" s="39"/>
      <c r="B377" s="30"/>
      <c r="C377" s="30"/>
      <c r="D377" s="343"/>
      <c r="E377" s="344"/>
      <c r="F377" s="344"/>
      <c r="G377" s="344"/>
      <c r="H377" s="344"/>
      <c r="I377" s="344"/>
      <c r="J377" s="344"/>
      <c r="K377" s="345"/>
      <c r="L377" s="140" t="s">
        <v>392</v>
      </c>
      <c r="M377" s="141"/>
      <c r="N377" s="144" t="s">
        <v>603</v>
      </c>
      <c r="O377" s="144"/>
      <c r="P377" s="144"/>
      <c r="Q377" s="144"/>
      <c r="R377" s="295">
        <v>89.31</v>
      </c>
      <c r="S377" s="296"/>
      <c r="T377" s="63"/>
      <c r="V377" s="83"/>
      <c r="W377" s="83"/>
      <c r="X377" s="87"/>
      <c r="Y377" s="83"/>
      <c r="AB377">
        <f t="shared" si="3"/>
        <v>400912.59</v>
      </c>
    </row>
    <row r="378" spans="1:28" ht="21.75" customHeight="1">
      <c r="A378" s="39"/>
      <c r="B378" s="30"/>
      <c r="C378" s="30"/>
      <c r="D378" s="184" t="s">
        <v>445</v>
      </c>
      <c r="E378" s="185"/>
      <c r="F378" s="185"/>
      <c r="G378" s="185"/>
      <c r="H378" s="185"/>
      <c r="I378" s="185"/>
      <c r="J378" s="185"/>
      <c r="K378" s="186"/>
      <c r="L378" s="140" t="s">
        <v>695</v>
      </c>
      <c r="M378" s="141"/>
      <c r="N378" s="144" t="s">
        <v>603</v>
      </c>
      <c r="O378" s="144"/>
      <c r="P378" s="144"/>
      <c r="Q378" s="144"/>
      <c r="R378" s="295">
        <f>R330/R356*1000</f>
        <v>813.0081300813008</v>
      </c>
      <c r="S378" s="296"/>
      <c r="T378" s="63"/>
      <c r="V378" s="83"/>
      <c r="W378" s="83"/>
      <c r="X378" s="86"/>
      <c r="Y378" s="83"/>
      <c r="AB378">
        <f>R378*R356</f>
        <v>3000</v>
      </c>
    </row>
    <row r="379" spans="1:28" ht="33.75" customHeight="1">
      <c r="A379" s="39"/>
      <c r="B379" s="30"/>
      <c r="C379" s="30"/>
      <c r="D379" s="166" t="s">
        <v>446</v>
      </c>
      <c r="E379" s="167"/>
      <c r="F379" s="167"/>
      <c r="G379" s="167"/>
      <c r="H379" s="167"/>
      <c r="I379" s="167"/>
      <c r="J379" s="167"/>
      <c r="K379" s="168"/>
      <c r="L379" s="140" t="s">
        <v>695</v>
      </c>
      <c r="M379" s="141"/>
      <c r="N379" s="144" t="s">
        <v>603</v>
      </c>
      <c r="O379" s="144"/>
      <c r="P379" s="144"/>
      <c r="Q379" s="144"/>
      <c r="R379" s="312">
        <v>6.3</v>
      </c>
      <c r="S379" s="313"/>
      <c r="T379" s="63"/>
      <c r="V379" s="83"/>
      <c r="W379" s="83"/>
      <c r="X379" s="86"/>
      <c r="Y379" s="83"/>
      <c r="AB379">
        <f>R379*R357*1000</f>
        <v>1323000</v>
      </c>
    </row>
    <row r="380" spans="1:28" ht="32.25" customHeight="1">
      <c r="A380" s="39"/>
      <c r="B380" s="30"/>
      <c r="C380" s="30"/>
      <c r="D380" s="166" t="s">
        <v>447</v>
      </c>
      <c r="E380" s="167"/>
      <c r="F380" s="167"/>
      <c r="G380" s="167"/>
      <c r="H380" s="167"/>
      <c r="I380" s="167"/>
      <c r="J380" s="167"/>
      <c r="K380" s="168"/>
      <c r="L380" s="140" t="s">
        <v>695</v>
      </c>
      <c r="M380" s="141"/>
      <c r="N380" s="144" t="s">
        <v>603</v>
      </c>
      <c r="O380" s="144"/>
      <c r="P380" s="144"/>
      <c r="Q380" s="144"/>
      <c r="R380" s="312">
        <v>14.95</v>
      </c>
      <c r="S380" s="313"/>
      <c r="T380" s="63"/>
      <c r="V380" s="83"/>
      <c r="W380" s="83"/>
      <c r="X380" s="86"/>
      <c r="Y380" s="83"/>
      <c r="AB380">
        <f>R380*R357*1000</f>
        <v>3139500</v>
      </c>
    </row>
    <row r="381" spans="1:28" ht="19.5" customHeight="1">
      <c r="A381" s="39"/>
      <c r="B381" s="30"/>
      <c r="C381" s="30"/>
      <c r="D381" s="166" t="s">
        <v>490</v>
      </c>
      <c r="E381" s="167"/>
      <c r="F381" s="167"/>
      <c r="G381" s="167"/>
      <c r="H381" s="167"/>
      <c r="I381" s="167"/>
      <c r="J381" s="167"/>
      <c r="K381" s="168"/>
      <c r="L381" s="140" t="s">
        <v>695</v>
      </c>
      <c r="M381" s="141"/>
      <c r="N381" s="144" t="s">
        <v>603</v>
      </c>
      <c r="O381" s="144"/>
      <c r="P381" s="144"/>
      <c r="Q381" s="144"/>
      <c r="R381" s="312">
        <f>R333/R358*1000</f>
        <v>438.57249626307924</v>
      </c>
      <c r="S381" s="313"/>
      <c r="T381" s="63"/>
      <c r="V381" s="83"/>
      <c r="W381" s="83"/>
      <c r="X381" s="86"/>
      <c r="Y381" s="83"/>
      <c r="AB381">
        <f aca="true" t="shared" si="4" ref="AB381:AB387">R381*R358</f>
        <v>5868100</v>
      </c>
    </row>
    <row r="382" spans="1:28" ht="19.5" customHeight="1">
      <c r="A382" s="39"/>
      <c r="B382" s="30"/>
      <c r="C382" s="30"/>
      <c r="D382" s="184" t="s">
        <v>448</v>
      </c>
      <c r="E382" s="185"/>
      <c r="F382" s="185"/>
      <c r="G382" s="185"/>
      <c r="H382" s="185"/>
      <c r="I382" s="185"/>
      <c r="J382" s="185"/>
      <c r="K382" s="186"/>
      <c r="L382" s="140" t="s">
        <v>695</v>
      </c>
      <c r="M382" s="141"/>
      <c r="N382" s="144" t="s">
        <v>603</v>
      </c>
      <c r="O382" s="144"/>
      <c r="P382" s="144"/>
      <c r="Q382" s="144"/>
      <c r="R382" s="164">
        <f>R336/R359*1000</f>
        <v>122600</v>
      </c>
      <c r="S382" s="480"/>
      <c r="T382" s="63"/>
      <c r="V382" s="83"/>
      <c r="W382" s="83"/>
      <c r="X382" s="86"/>
      <c r="Y382" s="83"/>
      <c r="AB382">
        <f t="shared" si="4"/>
        <v>980800</v>
      </c>
    </row>
    <row r="383" spans="1:28" ht="19.5" customHeight="1">
      <c r="A383" s="39"/>
      <c r="B383" s="30"/>
      <c r="C383" s="30"/>
      <c r="D383" s="184" t="s">
        <v>449</v>
      </c>
      <c r="E383" s="185"/>
      <c r="F383" s="185"/>
      <c r="G383" s="185"/>
      <c r="H383" s="185"/>
      <c r="I383" s="185"/>
      <c r="J383" s="185"/>
      <c r="K383" s="186"/>
      <c r="L383" s="140" t="s">
        <v>695</v>
      </c>
      <c r="M383" s="141"/>
      <c r="N383" s="144" t="s">
        <v>603</v>
      </c>
      <c r="O383" s="144"/>
      <c r="P383" s="144"/>
      <c r="Q383" s="144"/>
      <c r="R383" s="164">
        <f>R337/R360*1000</f>
        <v>10404.528301886792</v>
      </c>
      <c r="S383" s="480"/>
      <c r="T383" s="63"/>
      <c r="V383" s="83"/>
      <c r="W383" s="83"/>
      <c r="X383" s="86"/>
      <c r="Y383" s="83"/>
      <c r="AB383">
        <f t="shared" si="4"/>
        <v>2757200</v>
      </c>
    </row>
    <row r="384" spans="1:28" ht="19.5" customHeight="1">
      <c r="A384" s="39"/>
      <c r="B384" s="30"/>
      <c r="C384" s="30"/>
      <c r="D384" s="184" t="s">
        <v>450</v>
      </c>
      <c r="E384" s="185"/>
      <c r="F384" s="185"/>
      <c r="G384" s="185"/>
      <c r="H384" s="185"/>
      <c r="I384" s="185"/>
      <c r="J384" s="185"/>
      <c r="K384" s="186"/>
      <c r="L384" s="140" t="s">
        <v>695</v>
      </c>
      <c r="M384" s="141"/>
      <c r="N384" s="144" t="s">
        <v>603</v>
      </c>
      <c r="O384" s="144"/>
      <c r="P384" s="144"/>
      <c r="Q384" s="144"/>
      <c r="R384" s="164">
        <f>R338/R361*1000/12</f>
        <v>755.1333333333333</v>
      </c>
      <c r="S384" s="480"/>
      <c r="T384" s="63"/>
      <c r="V384" s="83"/>
      <c r="W384" s="83"/>
      <c r="X384" s="86"/>
      <c r="Y384" s="83"/>
      <c r="AB384">
        <f t="shared" si="4"/>
        <v>75513.33333333333</v>
      </c>
    </row>
    <row r="385" spans="1:28" ht="19.5" customHeight="1">
      <c r="A385" s="39"/>
      <c r="B385" s="30"/>
      <c r="C385" s="30"/>
      <c r="D385" s="184" t="s">
        <v>451</v>
      </c>
      <c r="E385" s="185"/>
      <c r="F385" s="185"/>
      <c r="G385" s="185"/>
      <c r="H385" s="185"/>
      <c r="I385" s="185"/>
      <c r="J385" s="185"/>
      <c r="K385" s="186"/>
      <c r="L385" s="140" t="s">
        <v>695</v>
      </c>
      <c r="M385" s="141"/>
      <c r="N385" s="144" t="s">
        <v>603</v>
      </c>
      <c r="O385" s="144"/>
      <c r="P385" s="144"/>
      <c r="Q385" s="144"/>
      <c r="R385" s="164">
        <f>R339/R362*1000</f>
        <v>880.0544069640914</v>
      </c>
      <c r="S385" s="480"/>
      <c r="T385" s="63"/>
      <c r="V385" s="83"/>
      <c r="W385" s="83"/>
      <c r="X385" s="86"/>
      <c r="Y385" s="83"/>
      <c r="AB385">
        <f t="shared" si="4"/>
        <v>808770</v>
      </c>
    </row>
    <row r="386" spans="1:28" ht="19.5" customHeight="1">
      <c r="A386" s="39"/>
      <c r="B386" s="30"/>
      <c r="C386" s="30"/>
      <c r="D386" s="184" t="s">
        <v>452</v>
      </c>
      <c r="E386" s="185"/>
      <c r="F386" s="185"/>
      <c r="G386" s="185"/>
      <c r="H386" s="185"/>
      <c r="I386" s="185"/>
      <c r="J386" s="185"/>
      <c r="K386" s="186"/>
      <c r="L386" s="140" t="s">
        <v>695</v>
      </c>
      <c r="M386" s="141"/>
      <c r="N386" s="144" t="s">
        <v>603</v>
      </c>
      <c r="O386" s="144"/>
      <c r="P386" s="144"/>
      <c r="Q386" s="144"/>
      <c r="R386" s="164">
        <f>R340/R363*1000</f>
        <v>65.72368421052632</v>
      </c>
      <c r="S386" s="480"/>
      <c r="T386" s="63"/>
      <c r="V386" s="83"/>
      <c r="W386" s="83"/>
      <c r="X386" s="86"/>
      <c r="Y386" s="83"/>
      <c r="AB386">
        <f t="shared" si="4"/>
        <v>149850</v>
      </c>
    </row>
    <row r="387" spans="1:28" ht="19.5" customHeight="1">
      <c r="A387" s="39"/>
      <c r="B387" s="30"/>
      <c r="C387" s="30"/>
      <c r="D387" s="166" t="s">
        <v>453</v>
      </c>
      <c r="E387" s="167"/>
      <c r="F387" s="167"/>
      <c r="G387" s="167"/>
      <c r="H387" s="167"/>
      <c r="I387" s="167"/>
      <c r="J387" s="167"/>
      <c r="K387" s="168"/>
      <c r="L387" s="140" t="s">
        <v>695</v>
      </c>
      <c r="M387" s="141"/>
      <c r="N387" s="144" t="s">
        <v>603</v>
      </c>
      <c r="O387" s="144"/>
      <c r="P387" s="144"/>
      <c r="Q387" s="144"/>
      <c r="R387" s="164">
        <v>114.38</v>
      </c>
      <c r="S387" s="480"/>
      <c r="T387" s="63"/>
      <c r="V387" s="83"/>
      <c r="W387" s="83"/>
      <c r="X387" s="86"/>
      <c r="Y387" s="83"/>
      <c r="AB387">
        <f t="shared" si="4"/>
        <v>3070187.96</v>
      </c>
    </row>
    <row r="388" spans="1:28" ht="21.75" customHeight="1">
      <c r="A388" s="39"/>
      <c r="B388" s="30"/>
      <c r="C388" s="30"/>
      <c r="D388" s="181" t="s">
        <v>697</v>
      </c>
      <c r="E388" s="182"/>
      <c r="F388" s="182"/>
      <c r="G388" s="182"/>
      <c r="H388" s="182"/>
      <c r="I388" s="182"/>
      <c r="J388" s="182"/>
      <c r="K388" s="182"/>
      <c r="L388" s="140"/>
      <c r="M388" s="141"/>
      <c r="N388" s="144"/>
      <c r="O388" s="144"/>
      <c r="P388" s="144"/>
      <c r="Q388" s="144"/>
      <c r="R388" s="144"/>
      <c r="S388" s="144"/>
      <c r="T388" s="63"/>
      <c r="V388" s="83"/>
      <c r="W388" s="83"/>
      <c r="X388" s="84"/>
      <c r="Y388" s="83"/>
      <c r="AB388">
        <v>158250</v>
      </c>
    </row>
    <row r="389" spans="1:25" ht="33.75" customHeight="1">
      <c r="A389" s="39"/>
      <c r="B389" s="30"/>
      <c r="C389" s="30"/>
      <c r="D389" s="184" t="s">
        <v>454</v>
      </c>
      <c r="E389" s="185"/>
      <c r="F389" s="185"/>
      <c r="G389" s="185"/>
      <c r="H389" s="185"/>
      <c r="I389" s="185"/>
      <c r="J389" s="185"/>
      <c r="K389" s="186"/>
      <c r="L389" s="140" t="s">
        <v>696</v>
      </c>
      <c r="M389" s="319"/>
      <c r="N389" s="144" t="s">
        <v>603</v>
      </c>
      <c r="O389" s="144"/>
      <c r="P389" s="144"/>
      <c r="Q389" s="144"/>
      <c r="R389" s="295">
        <v>100</v>
      </c>
      <c r="S389" s="489"/>
      <c r="T389" s="63"/>
      <c r="V389" s="83"/>
      <c r="W389" s="83"/>
      <c r="X389" s="84"/>
      <c r="Y389" s="83"/>
    </row>
    <row r="390" spans="1:25" ht="33.75" customHeight="1">
      <c r="A390" s="39"/>
      <c r="B390" s="30"/>
      <c r="C390" s="30"/>
      <c r="D390" s="184" t="s">
        <v>455</v>
      </c>
      <c r="E390" s="185"/>
      <c r="F390" s="185"/>
      <c r="G390" s="185"/>
      <c r="H390" s="185"/>
      <c r="I390" s="185"/>
      <c r="J390" s="185"/>
      <c r="K390" s="186"/>
      <c r="L390" s="140" t="s">
        <v>696</v>
      </c>
      <c r="M390" s="319"/>
      <c r="N390" s="144" t="s">
        <v>603</v>
      </c>
      <c r="O390" s="144"/>
      <c r="P390" s="144"/>
      <c r="Q390" s="144"/>
      <c r="R390" s="295">
        <f>R369/33.92*100</f>
        <v>106.4217744574108</v>
      </c>
      <c r="S390" s="296"/>
      <c r="T390" s="63"/>
      <c r="V390" s="83"/>
      <c r="W390" s="83"/>
      <c r="X390" s="84"/>
      <c r="Y390" s="83"/>
    </row>
    <row r="391" spans="1:25" ht="52.5" customHeight="1">
      <c r="A391" s="39"/>
      <c r="B391" s="30"/>
      <c r="C391" s="30"/>
      <c r="D391" s="340" t="s">
        <v>456</v>
      </c>
      <c r="E391" s="341"/>
      <c r="F391" s="341"/>
      <c r="G391" s="341"/>
      <c r="H391" s="341"/>
      <c r="I391" s="341"/>
      <c r="J391" s="341"/>
      <c r="K391" s="342"/>
      <c r="L391" s="140" t="s">
        <v>696</v>
      </c>
      <c r="M391" s="319"/>
      <c r="N391" s="144" t="s">
        <v>603</v>
      </c>
      <c r="O391" s="144"/>
      <c r="P391" s="144"/>
      <c r="Q391" s="144"/>
      <c r="R391" s="295">
        <v>145.26</v>
      </c>
      <c r="S391" s="296"/>
      <c r="T391" s="63"/>
      <c r="V391" s="83"/>
      <c r="W391" s="83"/>
      <c r="X391" s="84"/>
      <c r="Y391" s="83"/>
    </row>
    <row r="392" spans="1:25" ht="51" customHeight="1">
      <c r="A392" s="39"/>
      <c r="B392" s="30"/>
      <c r="C392" s="30"/>
      <c r="D392" s="184" t="s">
        <v>457</v>
      </c>
      <c r="E392" s="185"/>
      <c r="F392" s="185"/>
      <c r="G392" s="185"/>
      <c r="H392" s="185"/>
      <c r="I392" s="185"/>
      <c r="J392" s="185"/>
      <c r="K392" s="186"/>
      <c r="L392" s="140" t="s">
        <v>696</v>
      </c>
      <c r="M392" s="319"/>
      <c r="N392" s="144" t="s">
        <v>603</v>
      </c>
      <c r="O392" s="144"/>
      <c r="P392" s="144"/>
      <c r="Q392" s="144"/>
      <c r="R392" s="295">
        <v>102.57</v>
      </c>
      <c r="S392" s="296"/>
      <c r="T392" s="63"/>
      <c r="V392" s="83"/>
      <c r="W392" s="83"/>
      <c r="X392" s="84"/>
      <c r="Y392" s="83"/>
    </row>
    <row r="393" spans="1:25" ht="33.75" customHeight="1">
      <c r="A393" s="39"/>
      <c r="B393" s="30"/>
      <c r="C393" s="30"/>
      <c r="D393" s="184" t="s">
        <v>458</v>
      </c>
      <c r="E393" s="185"/>
      <c r="F393" s="185"/>
      <c r="G393" s="185"/>
      <c r="H393" s="185"/>
      <c r="I393" s="185"/>
      <c r="J393" s="185"/>
      <c r="K393" s="186"/>
      <c r="L393" s="140" t="s">
        <v>696</v>
      </c>
      <c r="M393" s="319"/>
      <c r="N393" s="144" t="s">
        <v>603</v>
      </c>
      <c r="O393" s="144"/>
      <c r="P393" s="144"/>
      <c r="Q393" s="144"/>
      <c r="R393" s="290">
        <f>R372/18.43*100</f>
        <v>173.08606622224582</v>
      </c>
      <c r="S393" s="291"/>
      <c r="T393" s="63"/>
      <c r="V393" s="83"/>
      <c r="W393" s="83"/>
      <c r="X393" s="84"/>
      <c r="Y393" s="83"/>
    </row>
    <row r="394" spans="1:25" ht="39.75" customHeight="1">
      <c r="A394" s="39"/>
      <c r="B394" s="30"/>
      <c r="C394" s="30"/>
      <c r="D394" s="184" t="s">
        <v>459</v>
      </c>
      <c r="E394" s="185"/>
      <c r="F394" s="185"/>
      <c r="G394" s="185"/>
      <c r="H394" s="185"/>
      <c r="I394" s="185"/>
      <c r="J394" s="185"/>
      <c r="K394" s="186"/>
      <c r="L394" s="140" t="s">
        <v>696</v>
      </c>
      <c r="M394" s="319"/>
      <c r="N394" s="144" t="s">
        <v>603</v>
      </c>
      <c r="O394" s="144"/>
      <c r="P394" s="144"/>
      <c r="Q394" s="144"/>
      <c r="R394" s="290">
        <f>R373/222.72*100</f>
        <v>128.5619275323276</v>
      </c>
      <c r="S394" s="291"/>
      <c r="T394" s="63"/>
      <c r="V394" s="83"/>
      <c r="W394" s="83"/>
      <c r="X394" s="84"/>
      <c r="Y394" s="83"/>
    </row>
    <row r="395" spans="1:25" ht="36.75" customHeight="1">
      <c r="A395" s="39"/>
      <c r="B395" s="30"/>
      <c r="C395" s="30"/>
      <c r="D395" s="184" t="s">
        <v>33</v>
      </c>
      <c r="E395" s="185"/>
      <c r="F395" s="185"/>
      <c r="G395" s="185"/>
      <c r="H395" s="185"/>
      <c r="I395" s="185"/>
      <c r="J395" s="185"/>
      <c r="K395" s="186"/>
      <c r="L395" s="140" t="s">
        <v>696</v>
      </c>
      <c r="M395" s="319"/>
      <c r="N395" s="144" t="s">
        <v>603</v>
      </c>
      <c r="O395" s="144"/>
      <c r="P395" s="144"/>
      <c r="Q395" s="144"/>
      <c r="R395" s="295">
        <f>0.25798/0.18099*100</f>
        <v>142.5382617824189</v>
      </c>
      <c r="S395" s="296"/>
      <c r="T395" s="63"/>
      <c r="V395" s="83"/>
      <c r="W395" s="83"/>
      <c r="X395" s="84"/>
      <c r="Y395" s="83"/>
    </row>
    <row r="396" spans="1:25" ht="40.5" customHeight="1">
      <c r="A396" s="39"/>
      <c r="B396" s="30"/>
      <c r="C396" s="30"/>
      <c r="D396" s="184" t="s">
        <v>34</v>
      </c>
      <c r="E396" s="185"/>
      <c r="F396" s="185"/>
      <c r="G396" s="185"/>
      <c r="H396" s="185"/>
      <c r="I396" s="185"/>
      <c r="J396" s="185"/>
      <c r="K396" s="186"/>
      <c r="L396" s="140" t="s">
        <v>696</v>
      </c>
      <c r="M396" s="319"/>
      <c r="N396" s="144" t="s">
        <v>603</v>
      </c>
      <c r="O396" s="144"/>
      <c r="P396" s="144"/>
      <c r="Q396" s="144"/>
      <c r="R396" s="290">
        <f>R375/33.31*100</f>
        <v>82.4472940798083</v>
      </c>
      <c r="S396" s="291"/>
      <c r="T396" s="63"/>
      <c r="V396" s="83"/>
      <c r="W396" s="83"/>
      <c r="X396" s="84"/>
      <c r="Y396" s="83"/>
    </row>
    <row r="397" spans="1:25" ht="36.75" customHeight="1">
      <c r="A397" s="39"/>
      <c r="B397" s="30"/>
      <c r="C397" s="30"/>
      <c r="D397" s="340" t="s">
        <v>460</v>
      </c>
      <c r="E397" s="341"/>
      <c r="F397" s="341"/>
      <c r="G397" s="341"/>
      <c r="H397" s="341"/>
      <c r="I397" s="341"/>
      <c r="J397" s="341"/>
      <c r="K397" s="342"/>
      <c r="L397" s="140" t="s">
        <v>696</v>
      </c>
      <c r="M397" s="319"/>
      <c r="N397" s="144" t="s">
        <v>603</v>
      </c>
      <c r="O397" s="144"/>
      <c r="P397" s="144"/>
      <c r="Q397" s="144"/>
      <c r="R397" s="312">
        <f>R376/192.95*100</f>
        <v>125.11013215859033</v>
      </c>
      <c r="S397" s="313"/>
      <c r="T397" s="63"/>
      <c r="V397" s="83"/>
      <c r="W397" s="83"/>
      <c r="X397" s="84"/>
      <c r="Y397" s="83"/>
    </row>
    <row r="398" spans="1:25" ht="34.5" customHeight="1">
      <c r="A398" s="39"/>
      <c r="B398" s="30"/>
      <c r="C398" s="30"/>
      <c r="D398" s="184" t="s">
        <v>461</v>
      </c>
      <c r="E398" s="185"/>
      <c r="F398" s="185"/>
      <c r="G398" s="185"/>
      <c r="H398" s="185"/>
      <c r="I398" s="185"/>
      <c r="J398" s="185"/>
      <c r="K398" s="186"/>
      <c r="L398" s="140" t="s">
        <v>696</v>
      </c>
      <c r="M398" s="141"/>
      <c r="N398" s="144" t="s">
        <v>603</v>
      </c>
      <c r="O398" s="144"/>
      <c r="P398" s="144"/>
      <c r="Q398" s="144"/>
      <c r="R398" s="295">
        <f>R378/564.64*100</f>
        <v>143.9869881838518</v>
      </c>
      <c r="S398" s="296"/>
      <c r="T398" s="63"/>
      <c r="V398" s="83"/>
      <c r="W398" s="83"/>
      <c r="X398" s="84"/>
      <c r="Y398" s="83"/>
    </row>
    <row r="399" spans="1:25" ht="35.25" customHeight="1">
      <c r="A399" s="39"/>
      <c r="B399" s="30"/>
      <c r="C399" s="30"/>
      <c r="D399" s="337" t="s">
        <v>462</v>
      </c>
      <c r="E399" s="338"/>
      <c r="F399" s="338"/>
      <c r="G399" s="338"/>
      <c r="H399" s="338"/>
      <c r="I399" s="338"/>
      <c r="J399" s="338"/>
      <c r="K399" s="339"/>
      <c r="L399" s="140" t="s">
        <v>696</v>
      </c>
      <c r="M399" s="319"/>
      <c r="N399" s="144" t="s">
        <v>603</v>
      </c>
      <c r="O399" s="144"/>
      <c r="P399" s="144"/>
      <c r="Q399" s="144"/>
      <c r="R399" s="312">
        <v>123.1</v>
      </c>
      <c r="S399" s="313"/>
      <c r="T399" s="63"/>
      <c r="V399" s="83"/>
      <c r="W399" s="83"/>
      <c r="X399" s="84"/>
      <c r="Y399" s="83"/>
    </row>
    <row r="400" spans="1:25" ht="36" customHeight="1">
      <c r="A400" s="39"/>
      <c r="B400" s="30"/>
      <c r="C400" s="30"/>
      <c r="D400" s="337" t="s">
        <v>463</v>
      </c>
      <c r="E400" s="338"/>
      <c r="F400" s="338"/>
      <c r="G400" s="338"/>
      <c r="H400" s="338"/>
      <c r="I400" s="338"/>
      <c r="J400" s="338"/>
      <c r="K400" s="339"/>
      <c r="L400" s="140" t="s">
        <v>696</v>
      </c>
      <c r="M400" s="319"/>
      <c r="N400" s="144" t="s">
        <v>603</v>
      </c>
      <c r="O400" s="144"/>
      <c r="P400" s="144"/>
      <c r="Q400" s="144"/>
      <c r="R400" s="312">
        <v>155.2</v>
      </c>
      <c r="S400" s="503"/>
      <c r="T400" s="63"/>
      <c r="V400" s="83"/>
      <c r="W400" s="83"/>
      <c r="X400" s="84"/>
      <c r="Y400" s="83"/>
    </row>
    <row r="401" spans="1:25" ht="36" customHeight="1">
      <c r="A401" s="39"/>
      <c r="B401" s="30"/>
      <c r="C401" s="30"/>
      <c r="D401" s="337" t="s">
        <v>191</v>
      </c>
      <c r="E401" s="338"/>
      <c r="F401" s="338"/>
      <c r="G401" s="338"/>
      <c r="H401" s="338"/>
      <c r="I401" s="338"/>
      <c r="J401" s="338"/>
      <c r="K401" s="339"/>
      <c r="L401" s="140" t="s">
        <v>696</v>
      </c>
      <c r="M401" s="319"/>
      <c r="N401" s="144" t="s">
        <v>603</v>
      </c>
      <c r="O401" s="144"/>
      <c r="P401" s="144"/>
      <c r="Q401" s="144"/>
      <c r="R401" s="312">
        <f>R381/374.66*100</f>
        <v>117.05879898123077</v>
      </c>
      <c r="S401" s="313"/>
      <c r="T401" s="63"/>
      <c r="V401" s="83"/>
      <c r="W401" s="83"/>
      <c r="X401" s="84"/>
      <c r="Y401" s="83"/>
    </row>
    <row r="402" spans="1:25" ht="35.25" customHeight="1">
      <c r="A402" s="39"/>
      <c r="B402" s="30"/>
      <c r="C402" s="30"/>
      <c r="D402" s="184" t="s">
        <v>464</v>
      </c>
      <c r="E402" s="185"/>
      <c r="F402" s="185"/>
      <c r="G402" s="185"/>
      <c r="H402" s="185"/>
      <c r="I402" s="185"/>
      <c r="J402" s="185"/>
      <c r="K402" s="186"/>
      <c r="L402" s="140" t="s">
        <v>696</v>
      </c>
      <c r="M402" s="319"/>
      <c r="N402" s="144" t="s">
        <v>603</v>
      </c>
      <c r="O402" s="144"/>
      <c r="P402" s="144"/>
      <c r="Q402" s="144"/>
      <c r="R402" s="164">
        <v>126.76</v>
      </c>
      <c r="S402" s="405"/>
      <c r="T402" s="63"/>
      <c r="V402" s="83"/>
      <c r="W402" s="83"/>
      <c r="X402" s="84"/>
      <c r="Y402" s="83"/>
    </row>
    <row r="403" spans="1:25" ht="35.25" customHeight="1">
      <c r="A403" s="39"/>
      <c r="B403" s="30"/>
      <c r="C403" s="30"/>
      <c r="D403" s="184" t="s">
        <v>764</v>
      </c>
      <c r="E403" s="185"/>
      <c r="F403" s="185"/>
      <c r="G403" s="185"/>
      <c r="H403" s="185"/>
      <c r="I403" s="185"/>
      <c r="J403" s="185"/>
      <c r="K403" s="186"/>
      <c r="L403" s="140" t="s">
        <v>696</v>
      </c>
      <c r="M403" s="319"/>
      <c r="N403" s="144" t="s">
        <v>603</v>
      </c>
      <c r="O403" s="144"/>
      <c r="P403" s="144"/>
      <c r="Q403" s="144"/>
      <c r="R403" s="164">
        <f>R383/12125*100</f>
        <v>85.81054269597355</v>
      </c>
      <c r="S403" s="501"/>
      <c r="T403" s="63"/>
      <c r="V403" s="83"/>
      <c r="W403" s="83"/>
      <c r="X403" s="84"/>
      <c r="Y403" s="83"/>
    </row>
    <row r="404" spans="1:25" ht="40.5" customHeight="1">
      <c r="A404" s="39"/>
      <c r="B404" s="30"/>
      <c r="C404" s="30"/>
      <c r="D404" s="184" t="s">
        <v>465</v>
      </c>
      <c r="E404" s="185"/>
      <c r="F404" s="185"/>
      <c r="G404" s="185"/>
      <c r="H404" s="185"/>
      <c r="I404" s="185"/>
      <c r="J404" s="185"/>
      <c r="K404" s="186"/>
      <c r="L404" s="140" t="s">
        <v>696</v>
      </c>
      <c r="M404" s="319"/>
      <c r="N404" s="144" t="s">
        <v>603</v>
      </c>
      <c r="O404" s="144"/>
      <c r="P404" s="144"/>
      <c r="Q404" s="144"/>
      <c r="R404" s="164">
        <v>131.33</v>
      </c>
      <c r="S404" s="405"/>
      <c r="T404" s="63"/>
      <c r="V404" s="83"/>
      <c r="W404" s="83"/>
      <c r="X404" s="84"/>
      <c r="Y404" s="83"/>
    </row>
    <row r="405" spans="1:25" ht="41.25" customHeight="1">
      <c r="A405" s="39"/>
      <c r="B405" s="30"/>
      <c r="C405" s="30"/>
      <c r="D405" s="184" t="s">
        <v>35</v>
      </c>
      <c r="E405" s="185"/>
      <c r="F405" s="185"/>
      <c r="G405" s="185"/>
      <c r="H405" s="185"/>
      <c r="I405" s="185"/>
      <c r="J405" s="185"/>
      <c r="K405" s="186"/>
      <c r="L405" s="140" t="s">
        <v>696</v>
      </c>
      <c r="M405" s="319"/>
      <c r="N405" s="144" t="s">
        <v>603</v>
      </c>
      <c r="O405" s="144"/>
      <c r="P405" s="144"/>
      <c r="Q405" s="144"/>
      <c r="R405" s="164">
        <f>R386/42.08*100</f>
        <v>156.1874624774865</v>
      </c>
      <c r="S405" s="480"/>
      <c r="T405" s="63"/>
      <c r="V405" s="83"/>
      <c r="W405" s="83"/>
      <c r="X405" s="84"/>
      <c r="Y405" s="83"/>
    </row>
    <row r="406" spans="1:25" ht="33.75" customHeight="1">
      <c r="A406" s="39"/>
      <c r="B406" s="30"/>
      <c r="C406" s="30"/>
      <c r="D406" s="184" t="s">
        <v>550</v>
      </c>
      <c r="E406" s="185"/>
      <c r="F406" s="185"/>
      <c r="G406" s="185"/>
      <c r="H406" s="185"/>
      <c r="I406" s="185"/>
      <c r="J406" s="185"/>
      <c r="K406" s="186"/>
      <c r="L406" s="140" t="s">
        <v>696</v>
      </c>
      <c r="M406" s="319"/>
      <c r="N406" s="144" t="s">
        <v>603</v>
      </c>
      <c r="O406" s="144"/>
      <c r="P406" s="144"/>
      <c r="Q406" s="144"/>
      <c r="R406" s="164">
        <f>R387/81.38*100</f>
        <v>140.55050380928975</v>
      </c>
      <c r="S406" s="501"/>
      <c r="T406" s="63"/>
      <c r="V406" s="83"/>
      <c r="W406" s="83"/>
      <c r="X406" s="84"/>
      <c r="Y406" s="83"/>
    </row>
    <row r="407" spans="1:25" ht="34.5" customHeight="1">
      <c r="A407" s="39"/>
      <c r="B407" s="30"/>
      <c r="C407" s="30"/>
      <c r="D407" s="192" t="s">
        <v>222</v>
      </c>
      <c r="E407" s="192"/>
      <c r="F407" s="192"/>
      <c r="G407" s="192"/>
      <c r="H407" s="192"/>
      <c r="I407" s="192"/>
      <c r="J407" s="192"/>
      <c r="K407" s="192"/>
      <c r="L407" s="140" t="s">
        <v>696</v>
      </c>
      <c r="M407" s="319"/>
      <c r="N407" s="144" t="s">
        <v>603</v>
      </c>
      <c r="O407" s="144"/>
      <c r="P407" s="144"/>
      <c r="Q407" s="144"/>
      <c r="R407" s="504">
        <v>152.6</v>
      </c>
      <c r="S407" s="505"/>
      <c r="T407" s="63"/>
      <c r="V407" s="83"/>
      <c r="W407" s="83"/>
      <c r="X407" s="84"/>
      <c r="Y407" s="83"/>
    </row>
    <row r="408" spans="1:25" ht="9.75" customHeight="1">
      <c r="A408" s="39"/>
      <c r="B408" s="39"/>
      <c r="C408" s="39"/>
      <c r="D408" s="66"/>
      <c r="E408" s="66"/>
      <c r="F408" s="66"/>
      <c r="G408" s="66"/>
      <c r="H408" s="66"/>
      <c r="I408" s="66"/>
      <c r="J408" s="66"/>
      <c r="K408" s="66"/>
      <c r="L408" s="56"/>
      <c r="M408" s="56"/>
      <c r="N408" s="56"/>
      <c r="O408" s="56"/>
      <c r="P408" s="56"/>
      <c r="Q408" s="56"/>
      <c r="R408" s="56"/>
      <c r="S408" s="56"/>
      <c r="T408" s="63"/>
      <c r="V408" s="83"/>
      <c r="W408" s="83"/>
      <c r="X408" s="84"/>
      <c r="Y408" s="83"/>
    </row>
    <row r="409" spans="1:25" ht="33.75" customHeight="1">
      <c r="A409" s="39"/>
      <c r="B409" s="30" t="s">
        <v>683</v>
      </c>
      <c r="C409" s="30" t="s">
        <v>721</v>
      </c>
      <c r="D409" s="140" t="s">
        <v>225</v>
      </c>
      <c r="E409" s="142"/>
      <c r="F409" s="142"/>
      <c r="G409" s="142"/>
      <c r="H409" s="142"/>
      <c r="I409" s="142"/>
      <c r="J409" s="142"/>
      <c r="K409" s="141"/>
      <c r="L409" s="140" t="s">
        <v>715</v>
      </c>
      <c r="M409" s="141"/>
      <c r="N409" s="140" t="s">
        <v>687</v>
      </c>
      <c r="O409" s="142"/>
      <c r="P409" s="142"/>
      <c r="Q409" s="141"/>
      <c r="R409" s="140" t="s">
        <v>733</v>
      </c>
      <c r="S409" s="141"/>
      <c r="T409" s="63"/>
      <c r="V409" s="83"/>
      <c r="W409" s="83"/>
      <c r="X409" s="84"/>
      <c r="Y409" s="83"/>
    </row>
    <row r="410" spans="1:25" ht="16.5" customHeight="1">
      <c r="A410" s="39"/>
      <c r="B410" s="30">
        <v>1</v>
      </c>
      <c r="C410" s="30">
        <v>2</v>
      </c>
      <c r="D410" s="205">
        <v>3</v>
      </c>
      <c r="E410" s="206"/>
      <c r="F410" s="206"/>
      <c r="G410" s="206"/>
      <c r="H410" s="206"/>
      <c r="I410" s="206"/>
      <c r="J410" s="206"/>
      <c r="K410" s="207"/>
      <c r="L410" s="140">
        <v>4</v>
      </c>
      <c r="M410" s="141"/>
      <c r="N410" s="140">
        <v>5</v>
      </c>
      <c r="O410" s="142"/>
      <c r="P410" s="142"/>
      <c r="Q410" s="141"/>
      <c r="R410" s="140">
        <v>6</v>
      </c>
      <c r="S410" s="141"/>
      <c r="T410" s="63"/>
      <c r="V410" s="83"/>
      <c r="W410" s="83"/>
      <c r="X410" s="84"/>
      <c r="Y410" s="83"/>
    </row>
    <row r="411" spans="1:25" ht="19.5" customHeight="1">
      <c r="A411" s="39"/>
      <c r="B411" s="32">
        <v>1</v>
      </c>
      <c r="C411" s="32">
        <v>4016060</v>
      </c>
      <c r="D411" s="178" t="s">
        <v>717</v>
      </c>
      <c r="E411" s="179"/>
      <c r="F411" s="179"/>
      <c r="G411" s="179"/>
      <c r="H411" s="179"/>
      <c r="I411" s="179"/>
      <c r="J411" s="179"/>
      <c r="K411" s="179"/>
      <c r="L411" s="179"/>
      <c r="M411" s="179"/>
      <c r="N411" s="179"/>
      <c r="O411" s="179"/>
      <c r="P411" s="179"/>
      <c r="Q411" s="179"/>
      <c r="R411" s="179"/>
      <c r="S411" s="180"/>
      <c r="T411" s="63"/>
      <c r="V411" s="83"/>
      <c r="W411" s="83"/>
      <c r="X411" s="84"/>
      <c r="Y411" s="83"/>
    </row>
    <row r="412" spans="1:25" ht="19.5" customHeight="1">
      <c r="A412" s="39"/>
      <c r="B412" s="32"/>
      <c r="C412" s="32"/>
      <c r="D412" s="178" t="s">
        <v>654</v>
      </c>
      <c r="E412" s="179"/>
      <c r="F412" s="179"/>
      <c r="G412" s="179"/>
      <c r="H412" s="179"/>
      <c r="I412" s="179"/>
      <c r="J412" s="179"/>
      <c r="K412" s="179"/>
      <c r="L412" s="179"/>
      <c r="M412" s="179"/>
      <c r="N412" s="179"/>
      <c r="O412" s="179"/>
      <c r="P412" s="179"/>
      <c r="Q412" s="179"/>
      <c r="R412" s="179"/>
      <c r="S412" s="180"/>
      <c r="T412" s="63"/>
      <c r="V412" s="83"/>
      <c r="W412" s="83"/>
      <c r="X412" s="84"/>
      <c r="Y412" s="83"/>
    </row>
    <row r="413" spans="1:25" ht="19.5" customHeight="1">
      <c r="A413" s="39"/>
      <c r="B413" s="33"/>
      <c r="C413" s="41"/>
      <c r="D413" s="181" t="s">
        <v>688</v>
      </c>
      <c r="E413" s="182"/>
      <c r="F413" s="182"/>
      <c r="G413" s="182"/>
      <c r="H413" s="182"/>
      <c r="I413" s="182"/>
      <c r="J413" s="182"/>
      <c r="K413" s="183"/>
      <c r="L413" s="140"/>
      <c r="M413" s="141"/>
      <c r="N413" s="140"/>
      <c r="O413" s="142"/>
      <c r="P413" s="142"/>
      <c r="Q413" s="141"/>
      <c r="R413" s="140"/>
      <c r="S413" s="141"/>
      <c r="T413" s="63"/>
      <c r="V413" s="83"/>
      <c r="W413" s="83"/>
      <c r="X413" s="84"/>
      <c r="Y413" s="83"/>
    </row>
    <row r="414" spans="1:25" ht="21" customHeight="1">
      <c r="A414" s="39"/>
      <c r="B414" s="30"/>
      <c r="C414" s="30"/>
      <c r="D414" s="161" t="s">
        <v>600</v>
      </c>
      <c r="E414" s="162"/>
      <c r="F414" s="162"/>
      <c r="G414" s="162"/>
      <c r="H414" s="162"/>
      <c r="I414" s="162"/>
      <c r="J414" s="162"/>
      <c r="K414" s="163"/>
      <c r="L414" s="140" t="s">
        <v>690</v>
      </c>
      <c r="M414" s="141"/>
      <c r="N414" s="170" t="s">
        <v>568</v>
      </c>
      <c r="O414" s="170"/>
      <c r="P414" s="170"/>
      <c r="Q414" s="170"/>
      <c r="R414" s="221">
        <f>10.609-8.5</f>
        <v>2.109</v>
      </c>
      <c r="S414" s="222"/>
      <c r="T414" s="63"/>
      <c r="V414" s="83"/>
      <c r="W414" s="83"/>
      <c r="X414" s="84"/>
      <c r="Y414" s="83"/>
    </row>
    <row r="415" spans="1:25" ht="18.75" customHeight="1">
      <c r="A415" s="39"/>
      <c r="B415" s="30"/>
      <c r="C415" s="30"/>
      <c r="D415" s="181" t="s">
        <v>693</v>
      </c>
      <c r="E415" s="182"/>
      <c r="F415" s="182"/>
      <c r="G415" s="182"/>
      <c r="H415" s="182"/>
      <c r="I415" s="182"/>
      <c r="J415" s="182"/>
      <c r="K415" s="183"/>
      <c r="L415" s="140"/>
      <c r="M415" s="141"/>
      <c r="N415" s="140"/>
      <c r="O415" s="142"/>
      <c r="P415" s="142"/>
      <c r="Q415" s="141"/>
      <c r="R415" s="140"/>
      <c r="S415" s="141"/>
      <c r="T415" s="63"/>
      <c r="V415" s="83"/>
      <c r="W415" s="83"/>
      <c r="X415" s="84"/>
      <c r="Y415" s="83"/>
    </row>
    <row r="416" spans="1:25" ht="27.75" customHeight="1">
      <c r="A416" s="39"/>
      <c r="B416" s="30"/>
      <c r="C416" s="30"/>
      <c r="D416" s="143" t="s">
        <v>601</v>
      </c>
      <c r="E416" s="143"/>
      <c r="F416" s="143"/>
      <c r="G416" s="143"/>
      <c r="H416" s="143"/>
      <c r="I416" s="143"/>
      <c r="J416" s="143"/>
      <c r="K416" s="143"/>
      <c r="L416" s="144" t="s">
        <v>646</v>
      </c>
      <c r="M416" s="144"/>
      <c r="N416" s="144" t="s">
        <v>784</v>
      </c>
      <c r="O416" s="144"/>
      <c r="P416" s="144"/>
      <c r="Q416" s="144"/>
      <c r="R416" s="502">
        <v>0.222</v>
      </c>
      <c r="S416" s="502"/>
      <c r="T416" s="63"/>
      <c r="V416" s="83"/>
      <c r="W416" s="83"/>
      <c r="X416" s="84"/>
      <c r="Y416" s="83"/>
    </row>
    <row r="417" spans="1:25" ht="19.5" customHeight="1">
      <c r="A417" s="39"/>
      <c r="B417" s="30"/>
      <c r="C417" s="30"/>
      <c r="D417" s="181" t="s">
        <v>694</v>
      </c>
      <c r="E417" s="182"/>
      <c r="F417" s="182"/>
      <c r="G417" s="182"/>
      <c r="H417" s="182"/>
      <c r="I417" s="182"/>
      <c r="J417" s="182"/>
      <c r="K417" s="183"/>
      <c r="L417" s="140"/>
      <c r="M417" s="141"/>
      <c r="N417" s="140"/>
      <c r="O417" s="142"/>
      <c r="P417" s="142"/>
      <c r="Q417" s="141"/>
      <c r="R417" s="140"/>
      <c r="S417" s="141"/>
      <c r="T417" s="63"/>
      <c r="V417" s="83"/>
      <c r="W417" s="83"/>
      <c r="X417" s="84"/>
      <c r="Y417" s="83"/>
    </row>
    <row r="418" spans="1:25" ht="37.5" customHeight="1">
      <c r="A418" s="39"/>
      <c r="B418" s="30"/>
      <c r="C418" s="30"/>
      <c r="D418" s="166" t="s">
        <v>516</v>
      </c>
      <c r="E418" s="167"/>
      <c r="F418" s="167"/>
      <c r="G418" s="167"/>
      <c r="H418" s="167"/>
      <c r="I418" s="167"/>
      <c r="J418" s="167"/>
      <c r="K418" s="168"/>
      <c r="L418" s="140" t="s">
        <v>695</v>
      </c>
      <c r="M418" s="141"/>
      <c r="N418" s="140" t="s">
        <v>603</v>
      </c>
      <c r="O418" s="142"/>
      <c r="P418" s="142"/>
      <c r="Q418" s="141"/>
      <c r="R418" s="384">
        <f>R414/R416</f>
        <v>9.5</v>
      </c>
      <c r="S418" s="385"/>
      <c r="T418" s="63"/>
      <c r="V418" s="83"/>
      <c r="W418" s="83"/>
      <c r="X418" s="84"/>
      <c r="Y418" s="83"/>
    </row>
    <row r="419" spans="1:25" ht="19.5" customHeight="1">
      <c r="A419" s="39"/>
      <c r="B419" s="30"/>
      <c r="C419" s="30"/>
      <c r="D419" s="181" t="s">
        <v>697</v>
      </c>
      <c r="E419" s="182"/>
      <c r="F419" s="182"/>
      <c r="G419" s="182"/>
      <c r="H419" s="182"/>
      <c r="I419" s="182"/>
      <c r="J419" s="182"/>
      <c r="K419" s="182"/>
      <c r="L419" s="140"/>
      <c r="M419" s="141"/>
      <c r="N419" s="144"/>
      <c r="O419" s="144"/>
      <c r="P419" s="144"/>
      <c r="Q419" s="144"/>
      <c r="R419" s="144"/>
      <c r="S419" s="144"/>
      <c r="T419" s="63"/>
      <c r="V419" s="83"/>
      <c r="W419" s="83"/>
      <c r="X419" s="84"/>
      <c r="Y419" s="83"/>
    </row>
    <row r="420" spans="1:25" ht="42" customHeight="1">
      <c r="A420" s="39"/>
      <c r="B420" s="30"/>
      <c r="C420" s="30"/>
      <c r="D420" s="143" t="s">
        <v>602</v>
      </c>
      <c r="E420" s="143"/>
      <c r="F420" s="143"/>
      <c r="G420" s="143"/>
      <c r="H420" s="143"/>
      <c r="I420" s="143"/>
      <c r="J420" s="143"/>
      <c r="K420" s="143"/>
      <c r="L420" s="144" t="s">
        <v>696</v>
      </c>
      <c r="M420" s="144"/>
      <c r="N420" s="140" t="s">
        <v>603</v>
      </c>
      <c r="O420" s="142"/>
      <c r="P420" s="142"/>
      <c r="Q420" s="141"/>
      <c r="R420" s="189">
        <f>R418/11.4*100</f>
        <v>83.33333333333333</v>
      </c>
      <c r="S420" s="189"/>
      <c r="T420" s="63"/>
      <c r="V420" s="83"/>
      <c r="W420" s="83"/>
      <c r="X420" s="84"/>
      <c r="Y420" s="83"/>
    </row>
    <row r="421" spans="1:25" ht="7.5" customHeight="1">
      <c r="A421" s="39"/>
      <c r="B421" s="39"/>
      <c r="C421" s="39"/>
      <c r="D421" s="66"/>
      <c r="E421" s="66"/>
      <c r="F421" s="66"/>
      <c r="G421" s="66"/>
      <c r="H421" s="66"/>
      <c r="I421" s="66"/>
      <c r="J421" s="66"/>
      <c r="K421" s="66"/>
      <c r="L421" s="56"/>
      <c r="M421" s="56"/>
      <c r="N421" s="56"/>
      <c r="O421" s="56"/>
      <c r="P421" s="56"/>
      <c r="Q421" s="56"/>
      <c r="R421" s="56"/>
      <c r="S421" s="56"/>
      <c r="T421" s="63"/>
      <c r="V421" s="83"/>
      <c r="W421" s="83"/>
      <c r="X421" s="84"/>
      <c r="Y421" s="83"/>
    </row>
    <row r="422" spans="1:25" ht="30" customHeight="1">
      <c r="A422" s="39"/>
      <c r="B422" s="30" t="s">
        <v>683</v>
      </c>
      <c r="C422" s="30" t="s">
        <v>721</v>
      </c>
      <c r="D422" s="144" t="s">
        <v>225</v>
      </c>
      <c r="E422" s="144"/>
      <c r="F422" s="144"/>
      <c r="G422" s="144"/>
      <c r="H422" s="144"/>
      <c r="I422" s="144"/>
      <c r="J422" s="144"/>
      <c r="K422" s="144"/>
      <c r="L422" s="140" t="s">
        <v>715</v>
      </c>
      <c r="M422" s="141"/>
      <c r="N422" s="144" t="s">
        <v>687</v>
      </c>
      <c r="O422" s="144"/>
      <c r="P422" s="144"/>
      <c r="Q422" s="144"/>
      <c r="R422" s="144" t="s">
        <v>733</v>
      </c>
      <c r="S422" s="187"/>
      <c r="T422" s="63"/>
      <c r="V422" s="83"/>
      <c r="W422" s="83"/>
      <c r="X422" s="84"/>
      <c r="Y422" s="83"/>
    </row>
    <row r="423" spans="1:25" ht="15" customHeight="1">
      <c r="A423" s="39"/>
      <c r="B423" s="30">
        <v>1</v>
      </c>
      <c r="C423" s="30">
        <v>2</v>
      </c>
      <c r="D423" s="205">
        <v>3</v>
      </c>
      <c r="E423" s="206"/>
      <c r="F423" s="206"/>
      <c r="G423" s="206"/>
      <c r="H423" s="206"/>
      <c r="I423" s="206"/>
      <c r="J423" s="206"/>
      <c r="K423" s="207"/>
      <c r="L423" s="140">
        <v>4</v>
      </c>
      <c r="M423" s="141"/>
      <c r="N423" s="144">
        <v>5</v>
      </c>
      <c r="O423" s="144"/>
      <c r="P423" s="144"/>
      <c r="Q423" s="144"/>
      <c r="R423" s="144">
        <v>6</v>
      </c>
      <c r="S423" s="187"/>
      <c r="T423" s="63"/>
      <c r="V423" s="83"/>
      <c r="W423" s="83"/>
      <c r="X423" s="84"/>
      <c r="Y423" s="83"/>
    </row>
    <row r="424" spans="1:25" ht="21" customHeight="1">
      <c r="A424" s="39"/>
      <c r="B424" s="32">
        <v>1</v>
      </c>
      <c r="C424" s="32">
        <v>4016060</v>
      </c>
      <c r="D424" s="178" t="s">
        <v>717</v>
      </c>
      <c r="E424" s="179"/>
      <c r="F424" s="179"/>
      <c r="G424" s="179"/>
      <c r="H424" s="179"/>
      <c r="I424" s="179"/>
      <c r="J424" s="179"/>
      <c r="K424" s="179"/>
      <c r="L424" s="179"/>
      <c r="M424" s="179"/>
      <c r="N424" s="179"/>
      <c r="O424" s="179"/>
      <c r="P424" s="179"/>
      <c r="Q424" s="179"/>
      <c r="R424" s="179"/>
      <c r="S424" s="180"/>
      <c r="T424" s="63"/>
      <c r="V424" s="83"/>
      <c r="W424" s="83"/>
      <c r="X424" s="84"/>
      <c r="Y424" s="83"/>
    </row>
    <row r="425" spans="1:25" ht="24" customHeight="1">
      <c r="A425" s="39"/>
      <c r="B425" s="32"/>
      <c r="C425" s="32"/>
      <c r="D425" s="178" t="s">
        <v>655</v>
      </c>
      <c r="E425" s="179"/>
      <c r="F425" s="179"/>
      <c r="G425" s="179"/>
      <c r="H425" s="179"/>
      <c r="I425" s="179"/>
      <c r="J425" s="179"/>
      <c r="K425" s="179"/>
      <c r="L425" s="179"/>
      <c r="M425" s="179"/>
      <c r="N425" s="179"/>
      <c r="O425" s="179"/>
      <c r="P425" s="179"/>
      <c r="Q425" s="179"/>
      <c r="R425" s="179"/>
      <c r="S425" s="180"/>
      <c r="T425" s="63"/>
      <c r="V425" s="83"/>
      <c r="W425" s="83"/>
      <c r="X425" s="84"/>
      <c r="Y425" s="83"/>
    </row>
    <row r="426" spans="1:25" ht="18" customHeight="1">
      <c r="A426" s="39"/>
      <c r="B426" s="33"/>
      <c r="C426" s="41"/>
      <c r="D426" s="181" t="s">
        <v>688</v>
      </c>
      <c r="E426" s="182"/>
      <c r="F426" s="182"/>
      <c r="G426" s="182"/>
      <c r="H426" s="182"/>
      <c r="I426" s="182"/>
      <c r="J426" s="182"/>
      <c r="K426" s="183"/>
      <c r="L426" s="140"/>
      <c r="M426" s="141"/>
      <c r="N426" s="144"/>
      <c r="O426" s="144"/>
      <c r="P426" s="144"/>
      <c r="Q426" s="144"/>
      <c r="R426" s="144"/>
      <c r="S426" s="187"/>
      <c r="T426" s="63"/>
      <c r="V426" s="83"/>
      <c r="W426" s="83"/>
      <c r="X426" s="84"/>
      <c r="Y426" s="83"/>
    </row>
    <row r="427" spans="1:25" ht="18.75" customHeight="1">
      <c r="A427" s="39"/>
      <c r="B427" s="30"/>
      <c r="C427" s="30"/>
      <c r="D427" s="161" t="s">
        <v>589</v>
      </c>
      <c r="E427" s="162"/>
      <c r="F427" s="162"/>
      <c r="G427" s="162"/>
      <c r="H427" s="162"/>
      <c r="I427" s="162"/>
      <c r="J427" s="162"/>
      <c r="K427" s="163"/>
      <c r="L427" s="140" t="s">
        <v>690</v>
      </c>
      <c r="M427" s="141"/>
      <c r="N427" s="170" t="s">
        <v>568</v>
      </c>
      <c r="O427" s="170"/>
      <c r="P427" s="170"/>
      <c r="Q427" s="170"/>
      <c r="R427" s="312">
        <f>SUM(R428:S441)</f>
        <v>1575.88972</v>
      </c>
      <c r="S427" s="313"/>
      <c r="T427" s="63"/>
      <c r="V427" s="83"/>
      <c r="W427" s="83"/>
      <c r="X427" s="89"/>
      <c r="Y427" s="83"/>
    </row>
    <row r="428" spans="1:25" ht="18.75" customHeight="1">
      <c r="A428" s="39"/>
      <c r="B428" s="30"/>
      <c r="C428" s="30"/>
      <c r="D428" s="166" t="s">
        <v>656</v>
      </c>
      <c r="E428" s="167"/>
      <c r="F428" s="167"/>
      <c r="G428" s="167"/>
      <c r="H428" s="167"/>
      <c r="I428" s="167"/>
      <c r="J428" s="167"/>
      <c r="K428" s="168"/>
      <c r="L428" s="140" t="s">
        <v>690</v>
      </c>
      <c r="M428" s="141"/>
      <c r="N428" s="144" t="s">
        <v>698</v>
      </c>
      <c r="O428" s="144"/>
      <c r="P428" s="144"/>
      <c r="Q428" s="144"/>
      <c r="R428" s="295">
        <v>31.68</v>
      </c>
      <c r="S428" s="296"/>
      <c r="T428" s="63"/>
      <c r="V428" s="83"/>
      <c r="W428" s="83"/>
      <c r="X428" s="84"/>
      <c r="Y428" s="83"/>
    </row>
    <row r="429" spans="1:25" ht="18.75" customHeight="1">
      <c r="A429" s="39"/>
      <c r="B429" s="30"/>
      <c r="C429" s="30"/>
      <c r="D429" s="166" t="s">
        <v>657</v>
      </c>
      <c r="E429" s="167"/>
      <c r="F429" s="167"/>
      <c r="G429" s="167"/>
      <c r="H429" s="167"/>
      <c r="I429" s="167"/>
      <c r="J429" s="167"/>
      <c r="K429" s="168"/>
      <c r="L429" s="140" t="s">
        <v>690</v>
      </c>
      <c r="M429" s="141"/>
      <c r="N429" s="144" t="s">
        <v>691</v>
      </c>
      <c r="O429" s="144"/>
      <c r="P429" s="144"/>
      <c r="Q429" s="144"/>
      <c r="R429" s="221">
        <f>200+76.567</f>
        <v>276.567</v>
      </c>
      <c r="S429" s="222"/>
      <c r="T429" s="115"/>
      <c r="U429" s="114"/>
      <c r="V429" s="83"/>
      <c r="W429" s="83"/>
      <c r="X429" s="84"/>
      <c r="Y429" s="83"/>
    </row>
    <row r="430" spans="1:25" ht="18.75" customHeight="1">
      <c r="A430" s="39"/>
      <c r="B430" s="30"/>
      <c r="C430" s="30"/>
      <c r="D430" s="328" t="s">
        <v>532</v>
      </c>
      <c r="E430" s="329"/>
      <c r="F430" s="329"/>
      <c r="G430" s="329"/>
      <c r="H430" s="329"/>
      <c r="I430" s="329"/>
      <c r="J430" s="329"/>
      <c r="K430" s="330"/>
      <c r="L430" s="140" t="s">
        <v>690</v>
      </c>
      <c r="M430" s="141"/>
      <c r="N430" s="144" t="s">
        <v>691</v>
      </c>
      <c r="O430" s="144"/>
      <c r="P430" s="144"/>
      <c r="Q430" s="144"/>
      <c r="R430" s="295">
        <v>100</v>
      </c>
      <c r="S430" s="296"/>
      <c r="T430" s="115"/>
      <c r="U430" s="114"/>
      <c r="V430" s="83"/>
      <c r="W430" s="83"/>
      <c r="X430" s="84"/>
      <c r="Y430" s="83"/>
    </row>
    <row r="431" spans="1:25" ht="21" customHeight="1">
      <c r="A431" s="39"/>
      <c r="B431" s="30"/>
      <c r="C431" s="30"/>
      <c r="D431" s="261" t="s">
        <v>530</v>
      </c>
      <c r="E431" s="262"/>
      <c r="F431" s="262"/>
      <c r="G431" s="262"/>
      <c r="H431" s="262"/>
      <c r="I431" s="262"/>
      <c r="J431" s="262"/>
      <c r="K431" s="263"/>
      <c r="L431" s="140" t="s">
        <v>690</v>
      </c>
      <c r="M431" s="141"/>
      <c r="N431" s="144" t="s">
        <v>691</v>
      </c>
      <c r="O431" s="144"/>
      <c r="P431" s="144"/>
      <c r="Q431" s="144"/>
      <c r="R431" s="290">
        <f>200</f>
        <v>200</v>
      </c>
      <c r="S431" s="291"/>
      <c r="T431" s="63"/>
      <c r="V431" s="83"/>
      <c r="W431" s="83"/>
      <c r="X431" s="84"/>
      <c r="Y431" s="83"/>
    </row>
    <row r="432" spans="1:25" ht="18.75" customHeight="1">
      <c r="A432" s="39"/>
      <c r="B432" s="30"/>
      <c r="C432" s="30"/>
      <c r="D432" s="328" t="s">
        <v>531</v>
      </c>
      <c r="E432" s="329"/>
      <c r="F432" s="329"/>
      <c r="G432" s="329"/>
      <c r="H432" s="329"/>
      <c r="I432" s="329"/>
      <c r="J432" s="329"/>
      <c r="K432" s="330"/>
      <c r="L432" s="140" t="s">
        <v>690</v>
      </c>
      <c r="M432" s="141"/>
      <c r="N432" s="144" t="s">
        <v>691</v>
      </c>
      <c r="O432" s="144"/>
      <c r="P432" s="144"/>
      <c r="Q432" s="144"/>
      <c r="R432" s="295">
        <f>106.78+100</f>
        <v>206.78</v>
      </c>
      <c r="S432" s="296"/>
      <c r="T432" s="63"/>
      <c r="V432" s="83"/>
      <c r="W432" s="83"/>
      <c r="X432" s="84"/>
      <c r="Y432" s="83"/>
    </row>
    <row r="433" spans="1:25" ht="19.5" customHeight="1">
      <c r="A433" s="93"/>
      <c r="B433" s="94"/>
      <c r="C433" s="94"/>
      <c r="D433" s="328" t="s">
        <v>551</v>
      </c>
      <c r="E433" s="329"/>
      <c r="F433" s="329"/>
      <c r="G433" s="329"/>
      <c r="H433" s="329"/>
      <c r="I433" s="329"/>
      <c r="J433" s="329"/>
      <c r="K433" s="330"/>
      <c r="L433" s="331" t="s">
        <v>690</v>
      </c>
      <c r="M433" s="332"/>
      <c r="N433" s="247" t="s">
        <v>691</v>
      </c>
      <c r="O433" s="247"/>
      <c r="P433" s="247"/>
      <c r="Q433" s="247"/>
      <c r="R433" s="513">
        <f>186.556+200+100-22.47884</f>
        <v>464.07716000000005</v>
      </c>
      <c r="S433" s="514"/>
      <c r="T433" s="95"/>
      <c r="V433" s="83"/>
      <c r="W433" s="83"/>
      <c r="X433" s="96"/>
      <c r="Y433" s="83"/>
    </row>
    <row r="434" spans="1:25" ht="19.5" customHeight="1">
      <c r="A434" s="93"/>
      <c r="B434" s="94"/>
      <c r="C434" s="94"/>
      <c r="D434" s="328" t="s">
        <v>533</v>
      </c>
      <c r="E434" s="329"/>
      <c r="F434" s="329"/>
      <c r="G434" s="329"/>
      <c r="H434" s="329"/>
      <c r="I434" s="329"/>
      <c r="J434" s="329"/>
      <c r="K434" s="330"/>
      <c r="L434" s="331" t="s">
        <v>690</v>
      </c>
      <c r="M434" s="332"/>
      <c r="N434" s="247" t="s">
        <v>691</v>
      </c>
      <c r="O434" s="247"/>
      <c r="P434" s="247"/>
      <c r="Q434" s="247"/>
      <c r="R434" s="511">
        <f>100-22.9</f>
        <v>77.1</v>
      </c>
      <c r="S434" s="512"/>
      <c r="T434" s="95"/>
      <c r="V434" s="83"/>
      <c r="W434" s="83"/>
      <c r="X434" s="96"/>
      <c r="Y434" s="83"/>
    </row>
    <row r="435" spans="1:25" ht="19.5" customHeight="1">
      <c r="A435" s="93"/>
      <c r="B435" s="94"/>
      <c r="C435" s="94"/>
      <c r="D435" s="328" t="s">
        <v>49</v>
      </c>
      <c r="E435" s="329"/>
      <c r="F435" s="329"/>
      <c r="G435" s="329"/>
      <c r="H435" s="329"/>
      <c r="I435" s="329"/>
      <c r="J435" s="329"/>
      <c r="K435" s="330"/>
      <c r="L435" s="331" t="s">
        <v>690</v>
      </c>
      <c r="M435" s="332"/>
      <c r="N435" s="331" t="s">
        <v>50</v>
      </c>
      <c r="O435" s="333"/>
      <c r="P435" s="333"/>
      <c r="Q435" s="332"/>
      <c r="R435" s="506">
        <v>26.7</v>
      </c>
      <c r="S435" s="507"/>
      <c r="T435" s="95"/>
      <c r="V435" s="83"/>
      <c r="W435" s="83"/>
      <c r="X435" s="96"/>
      <c r="Y435" s="83"/>
    </row>
    <row r="436" spans="1:25" ht="19.5" customHeight="1">
      <c r="A436" s="93"/>
      <c r="B436" s="94"/>
      <c r="C436" s="94"/>
      <c r="D436" s="328" t="s">
        <v>51</v>
      </c>
      <c r="E436" s="329"/>
      <c r="F436" s="329"/>
      <c r="G436" s="329"/>
      <c r="H436" s="329"/>
      <c r="I436" s="329"/>
      <c r="J436" s="329"/>
      <c r="K436" s="330"/>
      <c r="L436" s="331" t="s">
        <v>690</v>
      </c>
      <c r="M436" s="332"/>
      <c r="N436" s="331" t="s">
        <v>50</v>
      </c>
      <c r="O436" s="333"/>
      <c r="P436" s="333"/>
      <c r="Q436" s="332"/>
      <c r="R436" s="506">
        <v>6</v>
      </c>
      <c r="S436" s="507"/>
      <c r="T436" s="95"/>
      <c r="V436" s="83"/>
      <c r="W436" s="83"/>
      <c r="X436" s="96"/>
      <c r="Y436" s="83"/>
    </row>
    <row r="437" spans="1:25" ht="19.5" customHeight="1">
      <c r="A437" s="93"/>
      <c r="B437" s="94"/>
      <c r="C437" s="94"/>
      <c r="D437" s="57" t="s">
        <v>247</v>
      </c>
      <c r="E437" s="58"/>
      <c r="F437" s="58"/>
      <c r="G437" s="58"/>
      <c r="H437" s="58"/>
      <c r="I437" s="58"/>
      <c r="J437" s="58"/>
      <c r="K437" s="58"/>
      <c r="L437" s="331" t="s">
        <v>690</v>
      </c>
      <c r="M437" s="332"/>
      <c r="N437" s="331" t="s">
        <v>50</v>
      </c>
      <c r="O437" s="333"/>
      <c r="P437" s="333"/>
      <c r="Q437" s="332"/>
      <c r="R437" s="508">
        <v>93.616</v>
      </c>
      <c r="S437" s="509"/>
      <c r="T437" s="95"/>
      <c r="V437" s="83"/>
      <c r="W437" s="83"/>
      <c r="X437" s="96"/>
      <c r="Y437" s="83"/>
    </row>
    <row r="438" spans="1:25" ht="33.75" customHeight="1">
      <c r="A438" s="93"/>
      <c r="B438" s="94"/>
      <c r="C438" s="94"/>
      <c r="D438" s="161" t="s">
        <v>254</v>
      </c>
      <c r="E438" s="162"/>
      <c r="F438" s="162"/>
      <c r="G438" s="162"/>
      <c r="H438" s="162"/>
      <c r="I438" s="162"/>
      <c r="J438" s="162"/>
      <c r="K438" s="163"/>
      <c r="L438" s="331" t="s">
        <v>690</v>
      </c>
      <c r="M438" s="332"/>
      <c r="N438" s="316" t="s">
        <v>259</v>
      </c>
      <c r="O438" s="317"/>
      <c r="P438" s="317"/>
      <c r="Q438" s="318"/>
      <c r="R438" s="506">
        <f>16.1+5</f>
        <v>21.1</v>
      </c>
      <c r="S438" s="507"/>
      <c r="T438" s="95"/>
      <c r="V438" s="83"/>
      <c r="W438" s="83"/>
      <c r="X438" s="96"/>
      <c r="Y438" s="83"/>
    </row>
    <row r="439" spans="1:25" ht="33.75" customHeight="1">
      <c r="A439" s="93"/>
      <c r="B439" s="94"/>
      <c r="C439" s="94"/>
      <c r="D439" s="161" t="s">
        <v>286</v>
      </c>
      <c r="E439" s="162"/>
      <c r="F439" s="162"/>
      <c r="G439" s="162"/>
      <c r="H439" s="162"/>
      <c r="I439" s="162"/>
      <c r="J439" s="162"/>
      <c r="K439" s="163"/>
      <c r="L439" s="331" t="s">
        <v>690</v>
      </c>
      <c r="M439" s="332"/>
      <c r="N439" s="331" t="s">
        <v>50</v>
      </c>
      <c r="O439" s="333"/>
      <c r="P439" s="333"/>
      <c r="Q439" s="332"/>
      <c r="R439" s="508">
        <v>6.013</v>
      </c>
      <c r="S439" s="509"/>
      <c r="T439" s="95"/>
      <c r="V439" s="83"/>
      <c r="W439" s="83"/>
      <c r="X439" s="96"/>
      <c r="Y439" s="83"/>
    </row>
    <row r="440" spans="1:25" ht="20.25" customHeight="1">
      <c r="A440" s="93"/>
      <c r="B440" s="94"/>
      <c r="C440" s="94"/>
      <c r="D440" s="261" t="s">
        <v>12</v>
      </c>
      <c r="E440" s="262"/>
      <c r="F440" s="262"/>
      <c r="G440" s="262"/>
      <c r="H440" s="262"/>
      <c r="I440" s="262"/>
      <c r="J440" s="262"/>
      <c r="K440" s="263"/>
      <c r="L440" s="331" t="s">
        <v>690</v>
      </c>
      <c r="M440" s="332"/>
      <c r="N440" s="334" t="s">
        <v>691</v>
      </c>
      <c r="O440" s="335"/>
      <c r="P440" s="335"/>
      <c r="Q440" s="336"/>
      <c r="R440" s="508">
        <f>59.25656</f>
        <v>59.25656</v>
      </c>
      <c r="S440" s="509"/>
      <c r="T440" s="95"/>
      <c r="V440" s="83"/>
      <c r="W440" s="83"/>
      <c r="X440" s="96"/>
      <c r="Y440" s="83"/>
    </row>
    <row r="441" spans="1:25" ht="36.75" customHeight="1">
      <c r="A441" s="93"/>
      <c r="B441" s="94"/>
      <c r="C441" s="94"/>
      <c r="D441" s="261" t="s">
        <v>785</v>
      </c>
      <c r="E441" s="262"/>
      <c r="F441" s="262"/>
      <c r="G441" s="262"/>
      <c r="H441" s="262"/>
      <c r="I441" s="262"/>
      <c r="J441" s="262"/>
      <c r="K441" s="263"/>
      <c r="L441" s="331" t="s">
        <v>690</v>
      </c>
      <c r="M441" s="332"/>
      <c r="N441" s="334" t="s">
        <v>691</v>
      </c>
      <c r="O441" s="335"/>
      <c r="P441" s="335"/>
      <c r="Q441" s="336"/>
      <c r="R441" s="506">
        <v>7</v>
      </c>
      <c r="S441" s="507"/>
      <c r="T441" s="95"/>
      <c r="V441" s="83"/>
      <c r="W441" s="83"/>
      <c r="X441" s="96"/>
      <c r="Y441" s="83"/>
    </row>
    <row r="442" spans="1:25" ht="19.5" customHeight="1">
      <c r="A442" s="39"/>
      <c r="B442" s="30"/>
      <c r="C442" s="30"/>
      <c r="D442" s="181" t="s">
        <v>693</v>
      </c>
      <c r="E442" s="182"/>
      <c r="F442" s="182"/>
      <c r="G442" s="182"/>
      <c r="H442" s="182"/>
      <c r="I442" s="182"/>
      <c r="J442" s="182"/>
      <c r="K442" s="182"/>
      <c r="L442" s="140"/>
      <c r="M442" s="141"/>
      <c r="N442" s="144"/>
      <c r="O442" s="144"/>
      <c r="P442" s="144"/>
      <c r="Q442" s="144"/>
      <c r="R442" s="144"/>
      <c r="S442" s="144"/>
      <c r="T442" s="63"/>
      <c r="V442" s="83"/>
      <c r="W442" s="83"/>
      <c r="X442" s="84"/>
      <c r="Y442" s="83"/>
    </row>
    <row r="443" spans="1:25" ht="18.75" customHeight="1">
      <c r="A443" s="39"/>
      <c r="B443" s="30"/>
      <c r="C443" s="30"/>
      <c r="D443" s="166" t="s">
        <v>656</v>
      </c>
      <c r="E443" s="167"/>
      <c r="F443" s="167"/>
      <c r="G443" s="167"/>
      <c r="H443" s="167"/>
      <c r="I443" s="167"/>
      <c r="J443" s="167"/>
      <c r="K443" s="168"/>
      <c r="L443" s="140" t="s">
        <v>737</v>
      </c>
      <c r="M443" s="141"/>
      <c r="N443" s="140" t="s">
        <v>658</v>
      </c>
      <c r="O443" s="142"/>
      <c r="P443" s="142"/>
      <c r="Q443" s="141"/>
      <c r="R443" s="386">
        <v>2</v>
      </c>
      <c r="S443" s="386"/>
      <c r="T443" s="63"/>
      <c r="V443" s="83"/>
      <c r="W443" s="83"/>
      <c r="X443" s="84"/>
      <c r="Y443" s="83"/>
    </row>
    <row r="444" spans="1:25" ht="18.75" customHeight="1">
      <c r="A444" s="39"/>
      <c r="B444" s="30"/>
      <c r="C444" s="30"/>
      <c r="D444" s="166" t="s">
        <v>657</v>
      </c>
      <c r="E444" s="167"/>
      <c r="F444" s="167"/>
      <c r="G444" s="167"/>
      <c r="H444" s="167"/>
      <c r="I444" s="167"/>
      <c r="J444" s="167"/>
      <c r="K444" s="168"/>
      <c r="L444" s="140" t="s">
        <v>737</v>
      </c>
      <c r="M444" s="141"/>
      <c r="N444" s="144" t="s">
        <v>691</v>
      </c>
      <c r="O444" s="144"/>
      <c r="P444" s="144"/>
      <c r="Q444" s="144"/>
      <c r="R444" s="386">
        <v>1</v>
      </c>
      <c r="S444" s="386"/>
      <c r="T444" s="63"/>
      <c r="V444" s="83"/>
      <c r="W444" s="83"/>
      <c r="X444" s="84"/>
      <c r="Y444" s="83"/>
    </row>
    <row r="445" spans="1:25" ht="18.75" customHeight="1">
      <c r="A445" s="39"/>
      <c r="B445" s="30"/>
      <c r="C445" s="30"/>
      <c r="D445" s="166" t="s">
        <v>372</v>
      </c>
      <c r="E445" s="167"/>
      <c r="F445" s="167"/>
      <c r="G445" s="167"/>
      <c r="H445" s="167"/>
      <c r="I445" s="167"/>
      <c r="J445" s="167"/>
      <c r="K445" s="168"/>
      <c r="L445" s="140" t="s">
        <v>737</v>
      </c>
      <c r="M445" s="141"/>
      <c r="N445" s="144" t="s">
        <v>691</v>
      </c>
      <c r="O445" s="144"/>
      <c r="P445" s="144"/>
      <c r="Q445" s="144"/>
      <c r="R445" s="510">
        <f>5+1</f>
        <v>6</v>
      </c>
      <c r="S445" s="510"/>
      <c r="T445" s="63"/>
      <c r="V445" s="83"/>
      <c r="W445" s="83"/>
      <c r="X445" s="84"/>
      <c r="Y445" s="83"/>
    </row>
    <row r="446" spans="1:25" ht="34.5" customHeight="1">
      <c r="A446" s="39"/>
      <c r="B446" s="30"/>
      <c r="C446" s="30"/>
      <c r="D446" s="261" t="s">
        <v>479</v>
      </c>
      <c r="E446" s="262"/>
      <c r="F446" s="262"/>
      <c r="G446" s="262"/>
      <c r="H446" s="262"/>
      <c r="I446" s="262"/>
      <c r="J446" s="262"/>
      <c r="K446" s="263"/>
      <c r="L446" s="140" t="s">
        <v>647</v>
      </c>
      <c r="M446" s="141"/>
      <c r="N446" s="144" t="s">
        <v>778</v>
      </c>
      <c r="O446" s="144"/>
      <c r="P446" s="144"/>
      <c r="Q446" s="144"/>
      <c r="R446" s="476">
        <v>829.7</v>
      </c>
      <c r="S446" s="477"/>
      <c r="T446" s="63"/>
      <c r="V446" s="83"/>
      <c r="W446" s="83"/>
      <c r="X446" s="84"/>
      <c r="Y446" s="83"/>
    </row>
    <row r="447" spans="1:25" ht="34.5" customHeight="1">
      <c r="A447" s="39"/>
      <c r="B447" s="30"/>
      <c r="C447" s="30"/>
      <c r="D447" s="261" t="s">
        <v>477</v>
      </c>
      <c r="E447" s="262"/>
      <c r="F447" s="262"/>
      <c r="G447" s="262"/>
      <c r="H447" s="262"/>
      <c r="I447" s="262"/>
      <c r="J447" s="262"/>
      <c r="K447" s="263"/>
      <c r="L447" s="140" t="s">
        <v>647</v>
      </c>
      <c r="M447" s="141"/>
      <c r="N447" s="140" t="s">
        <v>692</v>
      </c>
      <c r="O447" s="142"/>
      <c r="P447" s="142"/>
      <c r="Q447" s="141"/>
      <c r="R447" s="476">
        <v>829.7</v>
      </c>
      <c r="S447" s="477"/>
      <c r="T447" s="63"/>
      <c r="V447" s="83"/>
      <c r="W447" s="83"/>
      <c r="X447" s="84"/>
      <c r="Y447" s="83"/>
    </row>
    <row r="448" spans="1:25" ht="36" customHeight="1">
      <c r="A448" s="39"/>
      <c r="B448" s="30"/>
      <c r="C448" s="30"/>
      <c r="D448" s="261" t="s">
        <v>480</v>
      </c>
      <c r="E448" s="262"/>
      <c r="F448" s="262"/>
      <c r="G448" s="262"/>
      <c r="H448" s="262"/>
      <c r="I448" s="262"/>
      <c r="J448" s="262"/>
      <c r="K448" s="263"/>
      <c r="L448" s="140" t="s">
        <v>331</v>
      </c>
      <c r="M448" s="141"/>
      <c r="N448" s="144" t="s">
        <v>778</v>
      </c>
      <c r="O448" s="144"/>
      <c r="P448" s="144"/>
      <c r="Q448" s="144"/>
      <c r="R448" s="476">
        <v>320</v>
      </c>
      <c r="S448" s="477"/>
      <c r="T448" s="63"/>
      <c r="V448" s="83"/>
      <c r="W448" s="83"/>
      <c r="X448" s="84"/>
      <c r="Y448" s="83"/>
    </row>
    <row r="449" spans="1:25" ht="35.25" customHeight="1">
      <c r="A449" s="39"/>
      <c r="B449" s="30"/>
      <c r="C449" s="30"/>
      <c r="D449" s="261" t="s">
        <v>478</v>
      </c>
      <c r="E449" s="262"/>
      <c r="F449" s="262"/>
      <c r="G449" s="262"/>
      <c r="H449" s="262"/>
      <c r="I449" s="262"/>
      <c r="J449" s="262"/>
      <c r="K449" s="263"/>
      <c r="L449" s="140" t="s">
        <v>331</v>
      </c>
      <c r="M449" s="141"/>
      <c r="N449" s="140" t="s">
        <v>692</v>
      </c>
      <c r="O449" s="142"/>
      <c r="P449" s="142"/>
      <c r="Q449" s="141"/>
      <c r="R449" s="476">
        <v>320</v>
      </c>
      <c r="S449" s="477"/>
      <c r="T449" s="63"/>
      <c r="V449" s="83"/>
      <c r="W449" s="83"/>
      <c r="X449" s="84"/>
      <c r="Y449" s="83"/>
    </row>
    <row r="450" spans="1:25" ht="19.5" customHeight="1" hidden="1">
      <c r="A450" s="39"/>
      <c r="B450" s="30"/>
      <c r="C450" s="30"/>
      <c r="D450" s="261" t="s">
        <v>473</v>
      </c>
      <c r="E450" s="262"/>
      <c r="F450" s="262"/>
      <c r="G450" s="262"/>
      <c r="H450" s="262"/>
      <c r="I450" s="262"/>
      <c r="J450" s="262"/>
      <c r="K450" s="263"/>
      <c r="L450" s="140" t="s">
        <v>647</v>
      </c>
      <c r="M450" s="141"/>
      <c r="N450" s="144" t="s">
        <v>738</v>
      </c>
      <c r="O450" s="144"/>
      <c r="P450" s="144"/>
      <c r="Q450" s="144"/>
      <c r="R450" s="476">
        <v>900</v>
      </c>
      <c r="S450" s="477"/>
      <c r="T450" s="63"/>
      <c r="V450" s="83"/>
      <c r="W450" s="83"/>
      <c r="X450" s="84"/>
      <c r="Y450" s="83"/>
    </row>
    <row r="451" spans="1:25" ht="21.75" customHeight="1" hidden="1">
      <c r="A451" s="39"/>
      <c r="B451" s="30"/>
      <c r="C451" s="30"/>
      <c r="D451" s="261" t="s">
        <v>474</v>
      </c>
      <c r="E451" s="262"/>
      <c r="F451" s="262"/>
      <c r="G451" s="262"/>
      <c r="H451" s="262"/>
      <c r="I451" s="262"/>
      <c r="J451" s="262"/>
      <c r="K451" s="263"/>
      <c r="L451" s="140" t="s">
        <v>647</v>
      </c>
      <c r="M451" s="141"/>
      <c r="N451" s="140" t="s">
        <v>692</v>
      </c>
      <c r="O451" s="142"/>
      <c r="P451" s="142"/>
      <c r="Q451" s="141"/>
      <c r="R451" s="476">
        <v>900</v>
      </c>
      <c r="S451" s="477"/>
      <c r="T451" s="63"/>
      <c r="V451" s="83"/>
      <c r="W451" s="83"/>
      <c r="X451" s="84"/>
      <c r="Y451" s="83"/>
    </row>
    <row r="452" spans="1:25" ht="21" customHeight="1">
      <c r="A452" s="39"/>
      <c r="B452" s="30"/>
      <c r="C452" s="30"/>
      <c r="D452" s="261" t="s">
        <v>786</v>
      </c>
      <c r="E452" s="262"/>
      <c r="F452" s="262"/>
      <c r="G452" s="262"/>
      <c r="H452" s="262"/>
      <c r="I452" s="262"/>
      <c r="J452" s="262"/>
      <c r="K452" s="263"/>
      <c r="L452" s="140" t="s">
        <v>647</v>
      </c>
      <c r="M452" s="141"/>
      <c r="N452" s="144" t="s">
        <v>778</v>
      </c>
      <c r="O452" s="144"/>
      <c r="P452" s="144"/>
      <c r="Q452" s="144"/>
      <c r="R452" s="476">
        <v>966</v>
      </c>
      <c r="S452" s="477"/>
      <c r="T452" s="63"/>
      <c r="V452" s="83"/>
      <c r="W452" s="83"/>
      <c r="X452" s="84"/>
      <c r="Y452" s="83"/>
    </row>
    <row r="453" spans="1:25" ht="34.5" customHeight="1">
      <c r="A453" s="39"/>
      <c r="B453" s="30"/>
      <c r="C453" s="30"/>
      <c r="D453" s="261" t="s">
        <v>787</v>
      </c>
      <c r="E453" s="262"/>
      <c r="F453" s="262"/>
      <c r="G453" s="262"/>
      <c r="H453" s="262"/>
      <c r="I453" s="262"/>
      <c r="J453" s="262"/>
      <c r="K453" s="263"/>
      <c r="L453" s="140" t="s">
        <v>647</v>
      </c>
      <c r="M453" s="141"/>
      <c r="N453" s="140" t="s">
        <v>248</v>
      </c>
      <c r="O453" s="142"/>
      <c r="P453" s="142"/>
      <c r="Q453" s="141"/>
      <c r="R453" s="476">
        <v>966</v>
      </c>
      <c r="S453" s="477"/>
      <c r="T453" s="63"/>
      <c r="V453" s="83"/>
      <c r="W453" s="83"/>
      <c r="X453" s="84"/>
      <c r="Y453" s="83"/>
    </row>
    <row r="454" spans="1:25" ht="21" customHeight="1">
      <c r="A454" s="39"/>
      <c r="B454" s="30"/>
      <c r="C454" s="30"/>
      <c r="D454" s="261" t="s">
        <v>475</v>
      </c>
      <c r="E454" s="262"/>
      <c r="F454" s="262"/>
      <c r="G454" s="262"/>
      <c r="H454" s="262"/>
      <c r="I454" s="262"/>
      <c r="J454" s="262"/>
      <c r="K454" s="263"/>
      <c r="L454" s="140" t="s">
        <v>472</v>
      </c>
      <c r="M454" s="141"/>
      <c r="N454" s="144" t="s">
        <v>778</v>
      </c>
      <c r="O454" s="144"/>
      <c r="P454" s="144"/>
      <c r="Q454" s="144"/>
      <c r="R454" s="515">
        <v>901.45</v>
      </c>
      <c r="S454" s="516"/>
      <c r="T454" s="63"/>
      <c r="V454" s="83"/>
      <c r="W454" s="83"/>
      <c r="X454" s="84"/>
      <c r="Y454" s="83"/>
    </row>
    <row r="455" spans="1:25" ht="22.5" customHeight="1">
      <c r="A455" s="39"/>
      <c r="B455" s="30"/>
      <c r="C455" s="30"/>
      <c r="D455" s="261" t="s">
        <v>476</v>
      </c>
      <c r="E455" s="262"/>
      <c r="F455" s="262"/>
      <c r="G455" s="262"/>
      <c r="H455" s="262"/>
      <c r="I455" s="262"/>
      <c r="J455" s="262"/>
      <c r="K455" s="263"/>
      <c r="L455" s="140" t="s">
        <v>472</v>
      </c>
      <c r="M455" s="141"/>
      <c r="N455" s="140" t="s">
        <v>692</v>
      </c>
      <c r="O455" s="142"/>
      <c r="P455" s="142"/>
      <c r="Q455" s="141"/>
      <c r="R455" s="515">
        <v>901.45</v>
      </c>
      <c r="S455" s="516"/>
      <c r="T455" s="63"/>
      <c r="V455" s="83"/>
      <c r="W455" s="83"/>
      <c r="X455" s="84"/>
      <c r="Y455" s="83"/>
    </row>
    <row r="456" spans="1:25" ht="21" customHeight="1">
      <c r="A456" s="39"/>
      <c r="B456" s="30"/>
      <c r="C456" s="30"/>
      <c r="D456" s="261" t="s">
        <v>793</v>
      </c>
      <c r="E456" s="262"/>
      <c r="F456" s="262"/>
      <c r="G456" s="262"/>
      <c r="H456" s="262"/>
      <c r="I456" s="262"/>
      <c r="J456" s="262"/>
      <c r="K456" s="263"/>
      <c r="L456" s="140" t="s">
        <v>331</v>
      </c>
      <c r="M456" s="141"/>
      <c r="N456" s="282" t="s">
        <v>778</v>
      </c>
      <c r="O456" s="282"/>
      <c r="P456" s="282"/>
      <c r="Q456" s="282"/>
      <c r="R456" s="515">
        <v>22</v>
      </c>
      <c r="S456" s="516"/>
      <c r="T456" s="63"/>
      <c r="V456" s="83"/>
      <c r="W456" s="83"/>
      <c r="X456" s="84"/>
      <c r="Y456" s="83"/>
    </row>
    <row r="457" spans="1:25" ht="21" customHeight="1">
      <c r="A457" s="39"/>
      <c r="B457" s="30"/>
      <c r="C457" s="30"/>
      <c r="D457" s="261" t="s">
        <v>36</v>
      </c>
      <c r="E457" s="262"/>
      <c r="F457" s="262"/>
      <c r="G457" s="262"/>
      <c r="H457" s="262"/>
      <c r="I457" s="262"/>
      <c r="J457" s="262"/>
      <c r="K457" s="263"/>
      <c r="L457" s="140" t="s">
        <v>331</v>
      </c>
      <c r="M457" s="141"/>
      <c r="N457" s="282" t="s">
        <v>778</v>
      </c>
      <c r="O457" s="282"/>
      <c r="P457" s="282"/>
      <c r="Q457" s="282"/>
      <c r="R457" s="515">
        <v>22</v>
      </c>
      <c r="S457" s="516"/>
      <c r="T457" s="63"/>
      <c r="V457" s="83"/>
      <c r="W457" s="83"/>
      <c r="X457" s="84"/>
      <c r="Y457" s="83"/>
    </row>
    <row r="458" spans="1:25" ht="36" customHeight="1">
      <c r="A458" s="39"/>
      <c r="B458" s="30"/>
      <c r="C458" s="30"/>
      <c r="D458" s="261" t="s">
        <v>37</v>
      </c>
      <c r="E458" s="262"/>
      <c r="F458" s="262"/>
      <c r="G458" s="262"/>
      <c r="H458" s="262"/>
      <c r="I458" s="262"/>
      <c r="J458" s="262"/>
      <c r="K458" s="263"/>
      <c r="L458" s="140" t="s">
        <v>647</v>
      </c>
      <c r="M458" s="141"/>
      <c r="N458" s="282" t="s">
        <v>778</v>
      </c>
      <c r="O458" s="282"/>
      <c r="P458" s="282"/>
      <c r="Q458" s="282"/>
      <c r="R458" s="283">
        <f>R440/140*1000</f>
        <v>423.26114285714283</v>
      </c>
      <c r="S458" s="284"/>
      <c r="T458" s="63"/>
      <c r="V458" s="83"/>
      <c r="W458" s="83"/>
      <c r="X458" s="84"/>
      <c r="Y458" s="83"/>
    </row>
    <row r="459" spans="1:25" ht="20.25" customHeight="1">
      <c r="A459" s="39"/>
      <c r="B459" s="30"/>
      <c r="C459" s="30"/>
      <c r="D459" s="181" t="s">
        <v>694</v>
      </c>
      <c r="E459" s="182"/>
      <c r="F459" s="182"/>
      <c r="G459" s="182"/>
      <c r="H459" s="182"/>
      <c r="I459" s="182"/>
      <c r="J459" s="182"/>
      <c r="K459" s="182"/>
      <c r="L459" s="140"/>
      <c r="M459" s="141"/>
      <c r="N459" s="144"/>
      <c r="O459" s="144"/>
      <c r="P459" s="144"/>
      <c r="Q459" s="144"/>
      <c r="R459" s="144"/>
      <c r="S459" s="144"/>
      <c r="T459" s="63"/>
      <c r="V459" s="83"/>
      <c r="W459" s="83"/>
      <c r="X459" s="84"/>
      <c r="Y459" s="83"/>
    </row>
    <row r="460" spans="1:25" ht="18.75" customHeight="1">
      <c r="A460" s="39"/>
      <c r="B460" s="30"/>
      <c r="C460" s="30"/>
      <c r="D460" s="166" t="s">
        <v>378</v>
      </c>
      <c r="E460" s="167"/>
      <c r="F460" s="167"/>
      <c r="G460" s="167"/>
      <c r="H460" s="167"/>
      <c r="I460" s="167"/>
      <c r="J460" s="167"/>
      <c r="K460" s="168"/>
      <c r="L460" s="140" t="s">
        <v>690</v>
      </c>
      <c r="M460" s="141"/>
      <c r="N460" s="140" t="s">
        <v>603</v>
      </c>
      <c r="O460" s="142"/>
      <c r="P460" s="142"/>
      <c r="Q460" s="141"/>
      <c r="R460" s="133">
        <f>31.68/R443</f>
        <v>15.84</v>
      </c>
      <c r="S460" s="134"/>
      <c r="T460" s="107">
        <f>R460*R443</f>
        <v>31.68</v>
      </c>
      <c r="V460" s="83"/>
      <c r="W460" s="83"/>
      <c r="X460" s="84"/>
      <c r="Y460" s="83"/>
    </row>
    <row r="461" spans="1:25" ht="18.75" customHeight="1">
      <c r="A461" s="39"/>
      <c r="B461" s="30"/>
      <c r="C461" s="30"/>
      <c r="D461" s="261" t="s">
        <v>508</v>
      </c>
      <c r="E461" s="262"/>
      <c r="F461" s="262"/>
      <c r="G461" s="262"/>
      <c r="H461" s="262"/>
      <c r="I461" s="262"/>
      <c r="J461" s="262"/>
      <c r="K461" s="263"/>
      <c r="L461" s="140" t="s">
        <v>690</v>
      </c>
      <c r="M461" s="141"/>
      <c r="N461" s="140" t="s">
        <v>603</v>
      </c>
      <c r="O461" s="142"/>
      <c r="P461" s="142"/>
      <c r="Q461" s="141"/>
      <c r="R461" s="133">
        <f>200+76.567</f>
        <v>276.567</v>
      </c>
      <c r="S461" s="134"/>
      <c r="T461" s="108">
        <f>R461</f>
        <v>276.567</v>
      </c>
      <c r="V461" s="83"/>
      <c r="W461" s="83"/>
      <c r="X461" s="84"/>
      <c r="Y461" s="83"/>
    </row>
    <row r="462" spans="1:25" ht="18.75" customHeight="1">
      <c r="A462" s="39"/>
      <c r="B462" s="30"/>
      <c r="C462" s="30"/>
      <c r="D462" s="166" t="s">
        <v>379</v>
      </c>
      <c r="E462" s="167"/>
      <c r="F462" s="167"/>
      <c r="G462" s="167"/>
      <c r="H462" s="167"/>
      <c r="I462" s="167"/>
      <c r="J462" s="167"/>
      <c r="K462" s="168"/>
      <c r="L462" s="140" t="s">
        <v>690</v>
      </c>
      <c r="M462" s="141"/>
      <c r="N462" s="140" t="s">
        <v>603</v>
      </c>
      <c r="O462" s="142"/>
      <c r="P462" s="142"/>
      <c r="Q462" s="141"/>
      <c r="R462" s="133">
        <f>(R430+R435+R436+R437+R439+R441)/R445</f>
        <v>39.88816666666666</v>
      </c>
      <c r="S462" s="134"/>
      <c r="T462" s="107" t="e">
        <f>R462*#REF!</f>
        <v>#REF!</v>
      </c>
      <c r="V462" s="83"/>
      <c r="W462" s="83"/>
      <c r="X462" s="84"/>
      <c r="Y462" s="83"/>
    </row>
    <row r="463" spans="1:25" ht="18.75" customHeight="1">
      <c r="A463" s="39"/>
      <c r="B463" s="30"/>
      <c r="C463" s="30"/>
      <c r="D463" s="166" t="s">
        <v>380</v>
      </c>
      <c r="E463" s="167"/>
      <c r="F463" s="167"/>
      <c r="G463" s="167"/>
      <c r="H463" s="167"/>
      <c r="I463" s="167"/>
      <c r="J463" s="167"/>
      <c r="K463" s="168"/>
      <c r="L463" s="140" t="s">
        <v>690</v>
      </c>
      <c r="M463" s="141"/>
      <c r="N463" s="140" t="s">
        <v>603</v>
      </c>
      <c r="O463" s="142"/>
      <c r="P463" s="142"/>
      <c r="Q463" s="141"/>
      <c r="R463" s="133">
        <f>R431/R446</f>
        <v>0.2410509822827528</v>
      </c>
      <c r="S463" s="134"/>
      <c r="T463" s="107">
        <f>R463*R446</f>
        <v>200</v>
      </c>
      <c r="V463" s="83"/>
      <c r="W463" s="83"/>
      <c r="X463" s="84"/>
      <c r="Y463" s="83"/>
    </row>
    <row r="464" spans="1:25" ht="18.75" customHeight="1">
      <c r="A464" s="39"/>
      <c r="B464" s="30"/>
      <c r="C464" s="30"/>
      <c r="D464" s="166" t="s">
        <v>260</v>
      </c>
      <c r="E464" s="167"/>
      <c r="F464" s="167"/>
      <c r="G464" s="167"/>
      <c r="H464" s="167"/>
      <c r="I464" s="167"/>
      <c r="J464" s="167"/>
      <c r="K464" s="168"/>
      <c r="L464" s="140" t="s">
        <v>690</v>
      </c>
      <c r="M464" s="141"/>
      <c r="N464" s="140" t="s">
        <v>603</v>
      </c>
      <c r="O464" s="142"/>
      <c r="P464" s="142"/>
      <c r="Q464" s="141"/>
      <c r="R464" s="133">
        <f>R432/R448</f>
        <v>0.6461875</v>
      </c>
      <c r="S464" s="134"/>
      <c r="T464" s="107">
        <f>R464*R448</f>
        <v>206.78</v>
      </c>
      <c r="V464" s="83"/>
      <c r="W464" s="83"/>
      <c r="X464" s="84"/>
      <c r="Y464" s="83"/>
    </row>
    <row r="465" spans="1:25" ht="18.75" customHeight="1">
      <c r="A465" s="39"/>
      <c r="B465" s="30"/>
      <c r="C465" s="30"/>
      <c r="D465" s="166" t="s">
        <v>381</v>
      </c>
      <c r="E465" s="167"/>
      <c r="F465" s="167"/>
      <c r="G465" s="167"/>
      <c r="H465" s="167"/>
      <c r="I465" s="167"/>
      <c r="J465" s="167"/>
      <c r="K465" s="168"/>
      <c r="L465" s="140" t="s">
        <v>690</v>
      </c>
      <c r="M465" s="141"/>
      <c r="N465" s="140" t="s">
        <v>603</v>
      </c>
      <c r="O465" s="142"/>
      <c r="P465" s="142"/>
      <c r="Q465" s="141"/>
      <c r="R465" s="133">
        <f>R433/R452</f>
        <v>0.48041113871635616</v>
      </c>
      <c r="S465" s="134"/>
      <c r="T465" s="107">
        <f>R465*R452</f>
        <v>464.07716000000005</v>
      </c>
      <c r="V465" s="83"/>
      <c r="W465" s="83"/>
      <c r="X465" s="84"/>
      <c r="Y465" s="83"/>
    </row>
    <row r="466" spans="1:25" ht="18.75" customHeight="1">
      <c r="A466" s="39"/>
      <c r="B466" s="30"/>
      <c r="C466" s="30"/>
      <c r="D466" s="166" t="s">
        <v>382</v>
      </c>
      <c r="E466" s="167"/>
      <c r="F466" s="167"/>
      <c r="G466" s="167"/>
      <c r="H466" s="167"/>
      <c r="I466" s="167"/>
      <c r="J466" s="167"/>
      <c r="K466" s="168"/>
      <c r="L466" s="140" t="s">
        <v>690</v>
      </c>
      <c r="M466" s="141"/>
      <c r="N466" s="140" t="s">
        <v>603</v>
      </c>
      <c r="O466" s="142"/>
      <c r="P466" s="142"/>
      <c r="Q466" s="141"/>
      <c r="R466" s="133">
        <f>R434/R454</f>
        <v>0.08552887015364134</v>
      </c>
      <c r="S466" s="134"/>
      <c r="T466" s="107">
        <f>R466*R454</f>
        <v>77.1</v>
      </c>
      <c r="V466" s="83"/>
      <c r="W466" s="83"/>
      <c r="X466" s="84"/>
      <c r="Y466" s="83"/>
    </row>
    <row r="467" spans="1:25" ht="18.75" customHeight="1">
      <c r="A467" s="39"/>
      <c r="B467" s="30"/>
      <c r="C467" s="30"/>
      <c r="D467" s="166" t="s">
        <v>261</v>
      </c>
      <c r="E467" s="167"/>
      <c r="F467" s="167"/>
      <c r="G467" s="167"/>
      <c r="H467" s="167"/>
      <c r="I467" s="167"/>
      <c r="J467" s="167"/>
      <c r="K467" s="168"/>
      <c r="L467" s="140" t="s">
        <v>690</v>
      </c>
      <c r="M467" s="141"/>
      <c r="N467" s="140" t="s">
        <v>603</v>
      </c>
      <c r="O467" s="142"/>
      <c r="P467" s="142"/>
      <c r="Q467" s="141"/>
      <c r="R467" s="133">
        <f>R438/R456</f>
        <v>0.9590909090909091</v>
      </c>
      <c r="S467" s="134"/>
      <c r="T467" s="107"/>
      <c r="V467" s="83"/>
      <c r="W467" s="83"/>
      <c r="X467" s="84"/>
      <c r="Y467" s="83"/>
    </row>
    <row r="468" spans="1:25" ht="18.75" customHeight="1">
      <c r="A468" s="39"/>
      <c r="B468" s="30"/>
      <c r="C468" s="30"/>
      <c r="D468" s="166" t="s">
        <v>24</v>
      </c>
      <c r="E468" s="167"/>
      <c r="F468" s="167"/>
      <c r="G468" s="167"/>
      <c r="H468" s="167"/>
      <c r="I468" s="167"/>
      <c r="J468" s="167"/>
      <c r="K468" s="168"/>
      <c r="L468" s="140" t="s">
        <v>690</v>
      </c>
      <c r="M468" s="141"/>
      <c r="N468" s="140" t="s">
        <v>603</v>
      </c>
      <c r="O468" s="142"/>
      <c r="P468" s="142"/>
      <c r="Q468" s="141"/>
      <c r="R468" s="133">
        <f>R440/R458</f>
        <v>0.14</v>
      </c>
      <c r="S468" s="134"/>
      <c r="T468" s="107"/>
      <c r="V468" s="83"/>
      <c r="W468" s="83"/>
      <c r="X468" s="84"/>
      <c r="Y468" s="83"/>
    </row>
    <row r="469" spans="1:25" ht="19.5" customHeight="1">
      <c r="A469" s="39"/>
      <c r="B469" s="30"/>
      <c r="C469" s="30"/>
      <c r="D469" s="181" t="s">
        <v>697</v>
      </c>
      <c r="E469" s="182"/>
      <c r="F469" s="182"/>
      <c r="G469" s="182"/>
      <c r="H469" s="182"/>
      <c r="I469" s="182"/>
      <c r="J469" s="182"/>
      <c r="K469" s="182"/>
      <c r="L469" s="140"/>
      <c r="M469" s="141"/>
      <c r="N469" s="144"/>
      <c r="O469" s="144"/>
      <c r="P469" s="144"/>
      <c r="Q469" s="144"/>
      <c r="R469" s="144"/>
      <c r="S469" s="144"/>
      <c r="T469" s="107"/>
      <c r="V469" s="83"/>
      <c r="W469" s="83"/>
      <c r="X469" s="84"/>
      <c r="Y469" s="83"/>
    </row>
    <row r="470" spans="1:25" ht="30" customHeight="1">
      <c r="A470" s="39"/>
      <c r="B470" s="30"/>
      <c r="C470" s="30"/>
      <c r="D470" s="143" t="s">
        <v>39</v>
      </c>
      <c r="E470" s="143"/>
      <c r="F470" s="143"/>
      <c r="G470" s="143"/>
      <c r="H470" s="143"/>
      <c r="I470" s="143"/>
      <c r="J470" s="143"/>
      <c r="K470" s="143"/>
      <c r="L470" s="144" t="s">
        <v>696</v>
      </c>
      <c r="M470" s="144"/>
      <c r="N470" s="140" t="s">
        <v>603</v>
      </c>
      <c r="O470" s="142"/>
      <c r="P470" s="142"/>
      <c r="Q470" s="141"/>
      <c r="R470" s="189">
        <f>31.68/18*100</f>
        <v>176</v>
      </c>
      <c r="S470" s="189"/>
      <c r="T470" s="63"/>
      <c r="V470" s="83"/>
      <c r="W470" s="83"/>
      <c r="X470" s="84"/>
      <c r="Y470" s="83"/>
    </row>
    <row r="471" spans="1:25" ht="34.5" customHeight="1">
      <c r="A471" s="39"/>
      <c r="B471" s="30"/>
      <c r="C471" s="30"/>
      <c r="D471" s="162" t="s">
        <v>484</v>
      </c>
      <c r="E471" s="162"/>
      <c r="F471" s="162"/>
      <c r="G471" s="162"/>
      <c r="H471" s="162"/>
      <c r="I471" s="162"/>
      <c r="J471" s="162"/>
      <c r="K471" s="163"/>
      <c r="L471" s="144" t="s">
        <v>696</v>
      </c>
      <c r="M471" s="144"/>
      <c r="N471" s="140" t="s">
        <v>603</v>
      </c>
      <c r="O471" s="142"/>
      <c r="P471" s="142"/>
      <c r="Q471" s="141"/>
      <c r="R471" s="133">
        <f>R445/5*100</f>
        <v>120</v>
      </c>
      <c r="S471" s="134"/>
      <c r="T471" s="63"/>
      <c r="V471" s="83"/>
      <c r="W471" s="83"/>
      <c r="X471" s="84"/>
      <c r="Y471" s="83"/>
    </row>
    <row r="472" spans="1:25" ht="34.5" customHeight="1">
      <c r="A472" s="39"/>
      <c r="B472" s="30"/>
      <c r="C472" s="30"/>
      <c r="D472" s="198" t="s">
        <v>481</v>
      </c>
      <c r="E472" s="199"/>
      <c r="F472" s="199"/>
      <c r="G472" s="199"/>
      <c r="H472" s="199"/>
      <c r="I472" s="199"/>
      <c r="J472" s="199"/>
      <c r="K472" s="199"/>
      <c r="L472" s="144" t="s">
        <v>696</v>
      </c>
      <c r="M472" s="144"/>
      <c r="N472" s="140" t="s">
        <v>603</v>
      </c>
      <c r="O472" s="142"/>
      <c r="P472" s="142"/>
      <c r="Q472" s="141"/>
      <c r="R472" s="133">
        <f>R447/R446*100</f>
        <v>100</v>
      </c>
      <c r="S472" s="134"/>
      <c r="T472" s="63"/>
      <c r="V472" s="83"/>
      <c r="W472" s="83"/>
      <c r="X472" s="84"/>
      <c r="Y472" s="83"/>
    </row>
    <row r="473" spans="1:25" ht="34.5" customHeight="1">
      <c r="A473" s="39"/>
      <c r="B473" s="30"/>
      <c r="C473" s="30"/>
      <c r="D473" s="161" t="s">
        <v>482</v>
      </c>
      <c r="E473" s="162"/>
      <c r="F473" s="162"/>
      <c r="G473" s="162"/>
      <c r="H473" s="162"/>
      <c r="I473" s="162"/>
      <c r="J473" s="162"/>
      <c r="K473" s="162"/>
      <c r="L473" s="144" t="s">
        <v>696</v>
      </c>
      <c r="M473" s="144"/>
      <c r="N473" s="140" t="s">
        <v>603</v>
      </c>
      <c r="O473" s="142"/>
      <c r="P473" s="142"/>
      <c r="Q473" s="141"/>
      <c r="R473" s="133">
        <f>R449/R448*100</f>
        <v>100</v>
      </c>
      <c r="S473" s="134"/>
      <c r="T473" s="63"/>
      <c r="V473" s="83"/>
      <c r="W473" s="83"/>
      <c r="X473" s="84"/>
      <c r="Y473" s="83"/>
    </row>
    <row r="474" spans="1:25" ht="34.5" customHeight="1">
      <c r="A474" s="39"/>
      <c r="B474" s="30"/>
      <c r="C474" s="30"/>
      <c r="D474" s="198" t="s">
        <v>483</v>
      </c>
      <c r="E474" s="199"/>
      <c r="F474" s="199"/>
      <c r="G474" s="199"/>
      <c r="H474" s="199"/>
      <c r="I474" s="199"/>
      <c r="J474" s="199"/>
      <c r="K474" s="199"/>
      <c r="L474" s="144" t="s">
        <v>696</v>
      </c>
      <c r="M474" s="144"/>
      <c r="N474" s="140" t="s">
        <v>603</v>
      </c>
      <c r="O474" s="142"/>
      <c r="P474" s="142"/>
      <c r="Q474" s="141"/>
      <c r="R474" s="133">
        <f>R453/R452*100</f>
        <v>100</v>
      </c>
      <c r="S474" s="134"/>
      <c r="T474" s="63"/>
      <c r="V474" s="83"/>
      <c r="W474" s="83"/>
      <c r="X474" s="84"/>
      <c r="Y474" s="83"/>
    </row>
    <row r="475" spans="1:25" ht="34.5" customHeight="1">
      <c r="A475" s="39"/>
      <c r="B475" s="30"/>
      <c r="C475" s="30"/>
      <c r="D475" s="161" t="s">
        <v>485</v>
      </c>
      <c r="E475" s="162"/>
      <c r="F475" s="162"/>
      <c r="G475" s="162"/>
      <c r="H475" s="162"/>
      <c r="I475" s="162"/>
      <c r="J475" s="162"/>
      <c r="K475" s="163"/>
      <c r="L475" s="144" t="s">
        <v>696</v>
      </c>
      <c r="M475" s="144"/>
      <c r="N475" s="140" t="s">
        <v>603</v>
      </c>
      <c r="O475" s="142"/>
      <c r="P475" s="142"/>
      <c r="Q475" s="141"/>
      <c r="R475" s="133">
        <f>R455/R454*100</f>
        <v>100</v>
      </c>
      <c r="S475" s="134"/>
      <c r="T475" s="63"/>
      <c r="V475" s="83"/>
      <c r="W475" s="83"/>
      <c r="X475" s="84"/>
      <c r="Y475" s="83"/>
    </row>
    <row r="476" spans="1:25" ht="34.5" customHeight="1">
      <c r="A476" s="39"/>
      <c r="B476" s="30"/>
      <c r="C476" s="30"/>
      <c r="D476" s="394" t="s">
        <v>485</v>
      </c>
      <c r="E476" s="394"/>
      <c r="F476" s="394"/>
      <c r="G476" s="394"/>
      <c r="H476" s="394"/>
      <c r="I476" s="394"/>
      <c r="J476" s="394"/>
      <c r="K476" s="394"/>
      <c r="L476" s="144" t="s">
        <v>696</v>
      </c>
      <c r="M476" s="144"/>
      <c r="N476" s="140" t="s">
        <v>603</v>
      </c>
      <c r="O476" s="142"/>
      <c r="P476" s="142"/>
      <c r="Q476" s="141"/>
      <c r="R476" s="133">
        <f>R457/R456*100</f>
        <v>100</v>
      </c>
      <c r="S476" s="134"/>
      <c r="T476" s="63"/>
      <c r="V476" s="83"/>
      <c r="W476" s="83"/>
      <c r="X476" s="84"/>
      <c r="Y476" s="83"/>
    </row>
    <row r="477" spans="1:25" ht="9" customHeight="1">
      <c r="A477" s="39"/>
      <c r="B477" s="39"/>
      <c r="C477" s="39"/>
      <c r="D477" s="66"/>
      <c r="E477" s="66"/>
      <c r="F477" s="66"/>
      <c r="G477" s="66"/>
      <c r="H477" s="66"/>
      <c r="I477" s="66"/>
      <c r="J477" s="66"/>
      <c r="K477" s="66"/>
      <c r="L477" s="56"/>
      <c r="M477" s="56"/>
      <c r="N477" s="56"/>
      <c r="O477" s="56"/>
      <c r="P477" s="56"/>
      <c r="Q477" s="56"/>
      <c r="R477" s="56"/>
      <c r="S477" s="56"/>
      <c r="T477" s="63"/>
      <c r="V477" s="83"/>
      <c r="W477" s="83"/>
      <c r="X477" s="84"/>
      <c r="Y477" s="83"/>
    </row>
    <row r="478" spans="1:25" ht="36.75" customHeight="1">
      <c r="A478" s="39"/>
      <c r="B478" s="30" t="s">
        <v>683</v>
      </c>
      <c r="C478" s="30" t="s">
        <v>721</v>
      </c>
      <c r="D478" s="144" t="s">
        <v>225</v>
      </c>
      <c r="E478" s="144"/>
      <c r="F478" s="144"/>
      <c r="G478" s="144"/>
      <c r="H478" s="144"/>
      <c r="I478" s="144"/>
      <c r="J478" s="144"/>
      <c r="K478" s="144"/>
      <c r="L478" s="140" t="s">
        <v>715</v>
      </c>
      <c r="M478" s="141"/>
      <c r="N478" s="144" t="s">
        <v>687</v>
      </c>
      <c r="O478" s="144"/>
      <c r="P478" s="144"/>
      <c r="Q478" s="144"/>
      <c r="R478" s="144" t="s">
        <v>733</v>
      </c>
      <c r="S478" s="187"/>
      <c r="T478" s="63"/>
      <c r="V478" s="83"/>
      <c r="W478" s="83"/>
      <c r="X478" s="84"/>
      <c r="Y478" s="83"/>
    </row>
    <row r="479" spans="1:25" ht="15.75">
      <c r="A479" s="39"/>
      <c r="B479" s="30">
        <v>1</v>
      </c>
      <c r="C479" s="30">
        <v>2</v>
      </c>
      <c r="D479" s="205">
        <v>3</v>
      </c>
      <c r="E479" s="206"/>
      <c r="F479" s="206"/>
      <c r="G479" s="206"/>
      <c r="H479" s="206"/>
      <c r="I479" s="206"/>
      <c r="J479" s="206"/>
      <c r="K479" s="207"/>
      <c r="L479" s="140">
        <v>4</v>
      </c>
      <c r="M479" s="141"/>
      <c r="N479" s="144">
        <v>5</v>
      </c>
      <c r="O479" s="144"/>
      <c r="P479" s="144"/>
      <c r="Q479" s="144"/>
      <c r="R479" s="144">
        <v>6</v>
      </c>
      <c r="S479" s="187"/>
      <c r="T479" s="63"/>
      <c r="V479" s="83"/>
      <c r="W479" s="83"/>
      <c r="X479" s="84"/>
      <c r="Y479" s="83"/>
    </row>
    <row r="480" spans="1:25" ht="19.5" customHeight="1">
      <c r="A480" s="39"/>
      <c r="B480" s="32">
        <v>1</v>
      </c>
      <c r="C480" s="32">
        <v>4016060</v>
      </c>
      <c r="D480" s="178" t="s">
        <v>717</v>
      </c>
      <c r="E480" s="179"/>
      <c r="F480" s="179"/>
      <c r="G480" s="179"/>
      <c r="H480" s="179"/>
      <c r="I480" s="179"/>
      <c r="J480" s="179"/>
      <c r="K480" s="179"/>
      <c r="L480" s="179"/>
      <c r="M480" s="179"/>
      <c r="N480" s="179"/>
      <c r="O480" s="179"/>
      <c r="P480" s="179"/>
      <c r="Q480" s="179"/>
      <c r="R480" s="179"/>
      <c r="S480" s="180"/>
      <c r="T480" s="63"/>
      <c r="V480" s="83"/>
      <c r="W480" s="83"/>
      <c r="X480" s="84"/>
      <c r="Y480" s="83"/>
    </row>
    <row r="481" spans="1:25" ht="36.75" customHeight="1">
      <c r="A481" s="39"/>
      <c r="B481" s="32"/>
      <c r="C481" s="32"/>
      <c r="D481" s="178" t="s">
        <v>659</v>
      </c>
      <c r="E481" s="179"/>
      <c r="F481" s="179"/>
      <c r="G481" s="179"/>
      <c r="H481" s="179"/>
      <c r="I481" s="179"/>
      <c r="J481" s="179"/>
      <c r="K481" s="179"/>
      <c r="L481" s="179"/>
      <c r="M481" s="179"/>
      <c r="N481" s="179"/>
      <c r="O481" s="179"/>
      <c r="P481" s="179"/>
      <c r="Q481" s="179"/>
      <c r="R481" s="179"/>
      <c r="S481" s="180"/>
      <c r="T481" s="63"/>
      <c r="V481" s="83"/>
      <c r="W481" s="83"/>
      <c r="X481" s="84"/>
      <c r="Y481" s="83"/>
    </row>
    <row r="482" spans="1:25" ht="20.25" customHeight="1">
      <c r="A482" s="39"/>
      <c r="B482" s="33"/>
      <c r="C482" s="41"/>
      <c r="D482" s="181" t="s">
        <v>688</v>
      </c>
      <c r="E482" s="182"/>
      <c r="F482" s="182"/>
      <c r="G482" s="182"/>
      <c r="H482" s="182"/>
      <c r="I482" s="182"/>
      <c r="J482" s="182"/>
      <c r="K482" s="183"/>
      <c r="L482" s="140"/>
      <c r="M482" s="141"/>
      <c r="N482" s="144"/>
      <c r="O482" s="144"/>
      <c r="P482" s="144"/>
      <c r="Q482" s="144"/>
      <c r="R482" s="144"/>
      <c r="S482" s="187"/>
      <c r="T482" s="63"/>
      <c r="V482" s="83"/>
      <c r="W482" s="83"/>
      <c r="X482" s="84"/>
      <c r="Y482" s="83"/>
    </row>
    <row r="483" spans="1:25" ht="21" customHeight="1">
      <c r="A483" s="39"/>
      <c r="B483" s="30"/>
      <c r="C483" s="30"/>
      <c r="D483" s="161" t="s">
        <v>589</v>
      </c>
      <c r="E483" s="162"/>
      <c r="F483" s="162"/>
      <c r="G483" s="162"/>
      <c r="H483" s="162"/>
      <c r="I483" s="162"/>
      <c r="J483" s="162"/>
      <c r="K483" s="163"/>
      <c r="L483" s="140" t="s">
        <v>690</v>
      </c>
      <c r="M483" s="141"/>
      <c r="N483" s="274" t="s">
        <v>568</v>
      </c>
      <c r="O483" s="275"/>
      <c r="P483" s="275"/>
      <c r="Q483" s="276"/>
      <c r="R483" s="221">
        <f>SUM(R484:S493)</f>
        <v>2154.9448199999997</v>
      </c>
      <c r="S483" s="222"/>
      <c r="T483" s="63"/>
      <c r="V483" s="83"/>
      <c r="W483" s="83"/>
      <c r="X483" s="84"/>
      <c r="Y483" s="83"/>
    </row>
    <row r="484" spans="1:25" ht="36" customHeight="1">
      <c r="A484" s="39"/>
      <c r="B484" s="30"/>
      <c r="C484" s="30"/>
      <c r="D484" s="161" t="s">
        <v>534</v>
      </c>
      <c r="E484" s="162"/>
      <c r="F484" s="162"/>
      <c r="G484" s="162"/>
      <c r="H484" s="162"/>
      <c r="I484" s="162"/>
      <c r="J484" s="162"/>
      <c r="K484" s="163"/>
      <c r="L484" s="140" t="s">
        <v>690</v>
      </c>
      <c r="M484" s="141"/>
      <c r="N484" s="144" t="s">
        <v>691</v>
      </c>
      <c r="O484" s="144"/>
      <c r="P484" s="144"/>
      <c r="Q484" s="144"/>
      <c r="R484" s="295">
        <v>60</v>
      </c>
      <c r="S484" s="296"/>
      <c r="T484" s="63"/>
      <c r="V484" s="83"/>
      <c r="W484" s="83"/>
      <c r="X484" s="84"/>
      <c r="Y484" s="83"/>
    </row>
    <row r="485" spans="1:25" ht="36.75" customHeight="1">
      <c r="A485" s="39"/>
      <c r="B485" s="30"/>
      <c r="C485" s="30"/>
      <c r="D485" s="161" t="s">
        <v>535</v>
      </c>
      <c r="E485" s="162"/>
      <c r="F485" s="162"/>
      <c r="G485" s="162"/>
      <c r="H485" s="162"/>
      <c r="I485" s="162"/>
      <c r="J485" s="162"/>
      <c r="K485" s="163"/>
      <c r="L485" s="140" t="s">
        <v>690</v>
      </c>
      <c r="M485" s="141"/>
      <c r="N485" s="144" t="s">
        <v>691</v>
      </c>
      <c r="O485" s="144"/>
      <c r="P485" s="144"/>
      <c r="Q485" s="144"/>
      <c r="R485" s="221">
        <v>400.292</v>
      </c>
      <c r="S485" s="222"/>
      <c r="T485" s="63"/>
      <c r="V485" s="83"/>
      <c r="W485" s="83"/>
      <c r="X485" s="84"/>
      <c r="Y485" s="83"/>
    </row>
    <row r="486" spans="1:25" ht="42.75" customHeight="1">
      <c r="A486" s="39"/>
      <c r="B486" s="30"/>
      <c r="C486" s="30"/>
      <c r="D486" s="261" t="s">
        <v>47</v>
      </c>
      <c r="E486" s="395"/>
      <c r="F486" s="395"/>
      <c r="G486" s="395"/>
      <c r="H486" s="395"/>
      <c r="I486" s="395"/>
      <c r="J486" s="395"/>
      <c r="K486" s="396"/>
      <c r="L486" s="140" t="s">
        <v>690</v>
      </c>
      <c r="M486" s="141"/>
      <c r="N486" s="300" t="s">
        <v>50</v>
      </c>
      <c r="O486" s="301"/>
      <c r="P486" s="301"/>
      <c r="Q486" s="302"/>
      <c r="R486" s="295">
        <v>25</v>
      </c>
      <c r="S486" s="296"/>
      <c r="T486" s="63"/>
      <c r="V486" s="83"/>
      <c r="W486" s="83"/>
      <c r="X486" s="84"/>
      <c r="Y486" s="83"/>
    </row>
    <row r="487" spans="1:25" ht="53.25" customHeight="1">
      <c r="A487" s="39"/>
      <c r="B487" s="30"/>
      <c r="C487" s="30"/>
      <c r="D487" s="143" t="s">
        <v>154</v>
      </c>
      <c r="E487" s="143"/>
      <c r="F487" s="143"/>
      <c r="G487" s="143"/>
      <c r="H487" s="143"/>
      <c r="I487" s="143"/>
      <c r="J487" s="143"/>
      <c r="K487" s="143"/>
      <c r="L487" s="144" t="s">
        <v>690</v>
      </c>
      <c r="M487" s="144"/>
      <c r="N487" s="170" t="s">
        <v>350</v>
      </c>
      <c r="O487" s="170"/>
      <c r="P487" s="170"/>
      <c r="Q487" s="170"/>
      <c r="R487" s="188">
        <v>50</v>
      </c>
      <c r="S487" s="188"/>
      <c r="T487" s="63"/>
      <c r="V487" s="83"/>
      <c r="W487" s="83"/>
      <c r="X487" s="84"/>
      <c r="Y487" s="83"/>
    </row>
    <row r="488" spans="1:25" ht="36" customHeight="1">
      <c r="A488" s="39"/>
      <c r="B488" s="30"/>
      <c r="C488" s="30"/>
      <c r="D488" s="166" t="s">
        <v>155</v>
      </c>
      <c r="E488" s="167"/>
      <c r="F488" s="167"/>
      <c r="G488" s="167"/>
      <c r="H488" s="167"/>
      <c r="I488" s="167"/>
      <c r="J488" s="167"/>
      <c r="K488" s="168"/>
      <c r="L488" s="140" t="s">
        <v>690</v>
      </c>
      <c r="M488" s="141"/>
      <c r="N488" s="270" t="s">
        <v>350</v>
      </c>
      <c r="O488" s="271"/>
      <c r="P488" s="271"/>
      <c r="Q488" s="272"/>
      <c r="R488" s="295">
        <v>18</v>
      </c>
      <c r="S488" s="296"/>
      <c r="T488" s="63"/>
      <c r="V488" s="83"/>
      <c r="W488" s="83"/>
      <c r="X488" s="84"/>
      <c r="Y488" s="83"/>
    </row>
    <row r="489" spans="1:25" ht="35.25" customHeight="1">
      <c r="A489" s="39"/>
      <c r="B489" s="30"/>
      <c r="C489" s="30"/>
      <c r="D489" s="161" t="s">
        <v>156</v>
      </c>
      <c r="E489" s="162"/>
      <c r="F489" s="162"/>
      <c r="G489" s="162"/>
      <c r="H489" s="162"/>
      <c r="I489" s="162"/>
      <c r="J489" s="162"/>
      <c r="K489" s="163"/>
      <c r="L489" s="140" t="s">
        <v>690</v>
      </c>
      <c r="M489" s="141"/>
      <c r="N489" s="297"/>
      <c r="O489" s="298"/>
      <c r="P489" s="298"/>
      <c r="Q489" s="299"/>
      <c r="R489" s="295">
        <v>80</v>
      </c>
      <c r="S489" s="296"/>
      <c r="T489" s="63"/>
      <c r="V489" s="83"/>
      <c r="W489" s="83"/>
      <c r="X489" s="84"/>
      <c r="Y489" s="83"/>
    </row>
    <row r="490" spans="1:25" ht="39" customHeight="1">
      <c r="A490" s="39"/>
      <c r="B490" s="30"/>
      <c r="C490" s="30"/>
      <c r="D490" s="397" t="s">
        <v>280</v>
      </c>
      <c r="E490" s="398"/>
      <c r="F490" s="398"/>
      <c r="G490" s="398"/>
      <c r="H490" s="398"/>
      <c r="I490" s="398"/>
      <c r="J490" s="398"/>
      <c r="K490" s="399"/>
      <c r="L490" s="140" t="s">
        <v>690</v>
      </c>
      <c r="M490" s="141"/>
      <c r="N490" s="297"/>
      <c r="O490" s="298"/>
      <c r="P490" s="298"/>
      <c r="Q490" s="299"/>
      <c r="R490" s="378">
        <f>20-8.31399</f>
        <v>11.68601</v>
      </c>
      <c r="S490" s="379"/>
      <c r="T490" s="63"/>
      <c r="V490" s="83"/>
      <c r="W490" s="83"/>
      <c r="X490" s="84"/>
      <c r="Y490" s="83"/>
    </row>
    <row r="491" spans="1:25" ht="36.75" customHeight="1">
      <c r="A491" s="39"/>
      <c r="B491" s="30"/>
      <c r="C491" s="30"/>
      <c r="D491" s="261" t="s">
        <v>281</v>
      </c>
      <c r="E491" s="262"/>
      <c r="F491" s="262"/>
      <c r="G491" s="262"/>
      <c r="H491" s="262"/>
      <c r="I491" s="262"/>
      <c r="J491" s="262"/>
      <c r="K491" s="263"/>
      <c r="L491" s="140" t="s">
        <v>690</v>
      </c>
      <c r="M491" s="141"/>
      <c r="N491" s="300"/>
      <c r="O491" s="301"/>
      <c r="P491" s="301"/>
      <c r="Q491" s="302"/>
      <c r="R491" s="312">
        <f>850+361.8-18.87199</f>
        <v>1192.9280099999999</v>
      </c>
      <c r="S491" s="313"/>
      <c r="T491" s="63"/>
      <c r="V491" s="83"/>
      <c r="W491" s="83"/>
      <c r="X491" s="84"/>
      <c r="Y491" s="83"/>
    </row>
    <row r="492" spans="1:25" ht="55.5" customHeight="1">
      <c r="A492" s="39"/>
      <c r="B492" s="30"/>
      <c r="C492" s="30"/>
      <c r="D492" s="292" t="s">
        <v>18</v>
      </c>
      <c r="E492" s="293"/>
      <c r="F492" s="293"/>
      <c r="G492" s="293"/>
      <c r="H492" s="293"/>
      <c r="I492" s="293"/>
      <c r="J492" s="293"/>
      <c r="K492" s="294"/>
      <c r="L492" s="140" t="s">
        <v>690</v>
      </c>
      <c r="M492" s="141"/>
      <c r="N492" s="274" t="s">
        <v>698</v>
      </c>
      <c r="O492" s="275"/>
      <c r="P492" s="275"/>
      <c r="Q492" s="276"/>
      <c r="R492" s="295">
        <v>34.56</v>
      </c>
      <c r="S492" s="296"/>
      <c r="T492" s="113">
        <v>200</v>
      </c>
      <c r="U492" s="114" t="s">
        <v>549</v>
      </c>
      <c r="V492" s="83"/>
      <c r="W492" s="83"/>
      <c r="X492" s="84"/>
      <c r="Y492" s="83"/>
    </row>
    <row r="493" spans="1:25" ht="21" customHeight="1">
      <c r="A493" s="39"/>
      <c r="B493" s="30"/>
      <c r="C493" s="30"/>
      <c r="D493" s="292" t="s">
        <v>549</v>
      </c>
      <c r="E493" s="293"/>
      <c r="F493" s="293"/>
      <c r="G493" s="293"/>
      <c r="H493" s="293"/>
      <c r="I493" s="293"/>
      <c r="J493" s="293"/>
      <c r="K493" s="294"/>
      <c r="L493" s="140" t="s">
        <v>690</v>
      </c>
      <c r="M493" s="141"/>
      <c r="N493" s="274" t="s">
        <v>50</v>
      </c>
      <c r="O493" s="275"/>
      <c r="P493" s="275"/>
      <c r="Q493" s="276"/>
      <c r="R493" s="295">
        <f>200+82.4788</f>
        <v>282.4788</v>
      </c>
      <c r="S493" s="296"/>
      <c r="T493" s="113"/>
      <c r="U493" s="114"/>
      <c r="V493" s="83"/>
      <c r="W493" s="83"/>
      <c r="X493" s="84"/>
      <c r="Y493" s="83"/>
    </row>
    <row r="494" spans="1:25" ht="18" customHeight="1">
      <c r="A494" s="39"/>
      <c r="B494" s="30"/>
      <c r="C494" s="30"/>
      <c r="D494" s="181" t="s">
        <v>693</v>
      </c>
      <c r="E494" s="182"/>
      <c r="F494" s="182"/>
      <c r="G494" s="182"/>
      <c r="H494" s="182"/>
      <c r="I494" s="182"/>
      <c r="J494" s="182"/>
      <c r="K494" s="182"/>
      <c r="L494" s="140"/>
      <c r="M494" s="141"/>
      <c r="N494" s="144"/>
      <c r="O494" s="144"/>
      <c r="P494" s="144"/>
      <c r="Q494" s="144"/>
      <c r="R494" s="144"/>
      <c r="S494" s="144"/>
      <c r="T494" s="63"/>
      <c r="V494" s="83"/>
      <c r="W494" s="83"/>
      <c r="X494" s="84"/>
      <c r="Y494" s="83"/>
    </row>
    <row r="495" spans="1:25" ht="19.5" customHeight="1">
      <c r="A495" s="39"/>
      <c r="B495" s="30"/>
      <c r="C495" s="30"/>
      <c r="D495" s="161" t="s">
        <v>660</v>
      </c>
      <c r="E495" s="162"/>
      <c r="F495" s="162"/>
      <c r="G495" s="162"/>
      <c r="H495" s="162"/>
      <c r="I495" s="162"/>
      <c r="J495" s="162"/>
      <c r="K495" s="163"/>
      <c r="L495" s="140" t="s">
        <v>737</v>
      </c>
      <c r="M495" s="141"/>
      <c r="N495" s="170" t="s">
        <v>698</v>
      </c>
      <c r="O495" s="170"/>
      <c r="P495" s="170"/>
      <c r="Q495" s="170"/>
      <c r="R495" s="314">
        <v>3</v>
      </c>
      <c r="S495" s="315"/>
      <c r="T495" s="63"/>
      <c r="V495" s="83"/>
      <c r="W495" s="83"/>
      <c r="X495" s="84"/>
      <c r="Y495" s="83"/>
    </row>
    <row r="496" spans="1:25" ht="21" customHeight="1">
      <c r="A496" s="39"/>
      <c r="B496" s="30"/>
      <c r="C496" s="30"/>
      <c r="D496" s="161" t="s">
        <v>40</v>
      </c>
      <c r="E496" s="162"/>
      <c r="F496" s="162"/>
      <c r="G496" s="162"/>
      <c r="H496" s="162"/>
      <c r="I496" s="162"/>
      <c r="J496" s="162"/>
      <c r="K496" s="163"/>
      <c r="L496" s="140" t="s">
        <v>737</v>
      </c>
      <c r="M496" s="141"/>
      <c r="N496" s="170" t="s">
        <v>698</v>
      </c>
      <c r="O496" s="170"/>
      <c r="P496" s="170"/>
      <c r="Q496" s="170"/>
      <c r="R496" s="314">
        <v>3</v>
      </c>
      <c r="S496" s="315"/>
      <c r="T496" s="63"/>
      <c r="V496" s="83"/>
      <c r="W496" s="83"/>
      <c r="X496" s="84"/>
      <c r="Y496" s="83"/>
    </row>
    <row r="497" spans="1:25" ht="21" customHeight="1">
      <c r="A497" s="39"/>
      <c r="B497" s="30"/>
      <c r="C497" s="30"/>
      <c r="D497" s="292" t="s">
        <v>362</v>
      </c>
      <c r="E497" s="293"/>
      <c r="F497" s="293"/>
      <c r="G497" s="293"/>
      <c r="H497" s="293"/>
      <c r="I497" s="293"/>
      <c r="J497" s="293"/>
      <c r="K497" s="294"/>
      <c r="L497" s="140" t="s">
        <v>737</v>
      </c>
      <c r="M497" s="141"/>
      <c r="N497" s="303" t="s">
        <v>350</v>
      </c>
      <c r="O497" s="304"/>
      <c r="P497" s="304"/>
      <c r="Q497" s="305"/>
      <c r="R497" s="314">
        <f>1+1</f>
        <v>2</v>
      </c>
      <c r="S497" s="315"/>
      <c r="T497" s="63"/>
      <c r="V497" s="83"/>
      <c r="W497" s="83"/>
      <c r="X497" s="84"/>
      <c r="Y497" s="83"/>
    </row>
    <row r="498" spans="1:25" ht="20.25" customHeight="1">
      <c r="A498" s="39"/>
      <c r="B498" s="30"/>
      <c r="C498" s="30"/>
      <c r="D498" s="292" t="s">
        <v>361</v>
      </c>
      <c r="E498" s="293"/>
      <c r="F498" s="293"/>
      <c r="G498" s="293"/>
      <c r="H498" s="293"/>
      <c r="I498" s="293"/>
      <c r="J498" s="293"/>
      <c r="K498" s="294"/>
      <c r="L498" s="140" t="s">
        <v>737</v>
      </c>
      <c r="M498" s="141"/>
      <c r="N498" s="306"/>
      <c r="O498" s="307"/>
      <c r="P498" s="307"/>
      <c r="Q498" s="308"/>
      <c r="R498" s="314">
        <f>1+1</f>
        <v>2</v>
      </c>
      <c r="S498" s="315"/>
      <c r="T498" s="63"/>
      <c r="V498" s="83"/>
      <c r="W498" s="83"/>
      <c r="X498" s="84"/>
      <c r="Y498" s="83"/>
    </row>
    <row r="499" spans="1:25" ht="35.25" customHeight="1">
      <c r="A499" s="39"/>
      <c r="B499" s="30"/>
      <c r="C499" s="30"/>
      <c r="D499" s="261" t="s">
        <v>183</v>
      </c>
      <c r="E499" s="262"/>
      <c r="F499" s="262"/>
      <c r="G499" s="262"/>
      <c r="H499" s="262"/>
      <c r="I499" s="262"/>
      <c r="J499" s="262"/>
      <c r="K499" s="263"/>
      <c r="L499" s="140" t="s">
        <v>737</v>
      </c>
      <c r="M499" s="141"/>
      <c r="N499" s="306"/>
      <c r="O499" s="307"/>
      <c r="P499" s="307"/>
      <c r="Q499" s="308"/>
      <c r="R499" s="314">
        <v>4</v>
      </c>
      <c r="S499" s="315"/>
      <c r="T499" s="63"/>
      <c r="V499" s="83"/>
      <c r="W499" s="83"/>
      <c r="X499" s="84"/>
      <c r="Y499" s="83"/>
    </row>
    <row r="500" spans="1:25" ht="35.25" customHeight="1">
      <c r="A500" s="39"/>
      <c r="B500" s="30"/>
      <c r="C500" s="30"/>
      <c r="D500" s="261" t="s">
        <v>184</v>
      </c>
      <c r="E500" s="262"/>
      <c r="F500" s="262"/>
      <c r="G500" s="262"/>
      <c r="H500" s="262"/>
      <c r="I500" s="262"/>
      <c r="J500" s="262"/>
      <c r="K500" s="263"/>
      <c r="L500" s="140" t="s">
        <v>737</v>
      </c>
      <c r="M500" s="141"/>
      <c r="N500" s="309"/>
      <c r="O500" s="310"/>
      <c r="P500" s="310"/>
      <c r="Q500" s="311"/>
      <c r="R500" s="314">
        <f>4</f>
        <v>4</v>
      </c>
      <c r="S500" s="315"/>
      <c r="T500" s="63"/>
      <c r="V500" s="83"/>
      <c r="W500" s="83"/>
      <c r="X500" s="84"/>
      <c r="Y500" s="83"/>
    </row>
    <row r="501" spans="1:25" ht="20.25" customHeight="1">
      <c r="A501" s="39"/>
      <c r="B501" s="30"/>
      <c r="C501" s="30"/>
      <c r="D501" s="261" t="s">
        <v>157</v>
      </c>
      <c r="E501" s="262"/>
      <c r="F501" s="262"/>
      <c r="G501" s="262"/>
      <c r="H501" s="262"/>
      <c r="I501" s="262"/>
      <c r="J501" s="262"/>
      <c r="K501" s="263"/>
      <c r="L501" s="140" t="s">
        <v>652</v>
      </c>
      <c r="M501" s="141"/>
      <c r="N501" s="144" t="s">
        <v>698</v>
      </c>
      <c r="O501" s="144"/>
      <c r="P501" s="144"/>
      <c r="Q501" s="144"/>
      <c r="R501" s="280">
        <v>6116</v>
      </c>
      <c r="S501" s="281"/>
      <c r="T501" s="63"/>
      <c r="V501" s="83"/>
      <c r="W501" s="83"/>
      <c r="X501" s="84"/>
      <c r="Y501" s="83"/>
    </row>
    <row r="502" spans="1:25" ht="19.5" customHeight="1">
      <c r="A502" s="39"/>
      <c r="B502" s="30"/>
      <c r="C502" s="30"/>
      <c r="D502" s="161" t="s">
        <v>185</v>
      </c>
      <c r="E502" s="162"/>
      <c r="F502" s="162"/>
      <c r="G502" s="162"/>
      <c r="H502" s="162"/>
      <c r="I502" s="162"/>
      <c r="J502" s="162"/>
      <c r="K502" s="163"/>
      <c r="L502" s="140" t="s">
        <v>652</v>
      </c>
      <c r="M502" s="141"/>
      <c r="N502" s="144" t="s">
        <v>698</v>
      </c>
      <c r="O502" s="144"/>
      <c r="P502" s="144"/>
      <c r="Q502" s="144"/>
      <c r="R502" s="280">
        <v>6116</v>
      </c>
      <c r="S502" s="281"/>
      <c r="T502" s="63"/>
      <c r="V502" s="83"/>
      <c r="W502" s="83"/>
      <c r="X502" s="84"/>
      <c r="Y502" s="83"/>
    </row>
    <row r="503" spans="1:25" ht="19.5" customHeight="1">
      <c r="A503" s="39"/>
      <c r="B503" s="30"/>
      <c r="C503" s="30"/>
      <c r="D503" s="261" t="s">
        <v>8</v>
      </c>
      <c r="E503" s="262"/>
      <c r="F503" s="262"/>
      <c r="G503" s="262"/>
      <c r="H503" s="262"/>
      <c r="I503" s="262"/>
      <c r="J503" s="262"/>
      <c r="K503" s="263"/>
      <c r="L503" s="140" t="s">
        <v>472</v>
      </c>
      <c r="M503" s="141"/>
      <c r="N503" s="144" t="s">
        <v>209</v>
      </c>
      <c r="O503" s="144"/>
      <c r="P503" s="144"/>
      <c r="Q503" s="144"/>
      <c r="R503" s="280">
        <f>(72+267+161)+(50+225+22+130)</f>
        <v>927</v>
      </c>
      <c r="S503" s="281"/>
      <c r="T503" s="63"/>
      <c r="V503" s="83"/>
      <c r="W503" s="83"/>
      <c r="X503" s="84"/>
      <c r="Y503" s="83"/>
    </row>
    <row r="504" spans="1:25" ht="19.5" customHeight="1">
      <c r="A504" s="39"/>
      <c r="B504" s="30"/>
      <c r="C504" s="30"/>
      <c r="D504" s="161" t="s">
        <v>9</v>
      </c>
      <c r="E504" s="162"/>
      <c r="F504" s="162"/>
      <c r="G504" s="162"/>
      <c r="H504" s="162"/>
      <c r="I504" s="162"/>
      <c r="J504" s="162"/>
      <c r="K504" s="163"/>
      <c r="L504" s="140" t="s">
        <v>472</v>
      </c>
      <c r="M504" s="141"/>
      <c r="N504" s="144" t="s">
        <v>50</v>
      </c>
      <c r="O504" s="144"/>
      <c r="P504" s="144"/>
      <c r="Q504" s="144"/>
      <c r="R504" s="280">
        <f>(72+267+161)+(50+225+22+130)</f>
        <v>927</v>
      </c>
      <c r="S504" s="281"/>
      <c r="T504" s="63"/>
      <c r="V504" s="83"/>
      <c r="W504" s="83"/>
      <c r="X504" s="84"/>
      <c r="Y504" s="83"/>
    </row>
    <row r="505" spans="1:25" ht="19.5" customHeight="1">
      <c r="A505" s="39"/>
      <c r="B505" s="30"/>
      <c r="C505" s="30"/>
      <c r="D505" s="161" t="s">
        <v>803</v>
      </c>
      <c r="E505" s="162"/>
      <c r="F505" s="162"/>
      <c r="G505" s="162"/>
      <c r="H505" s="162"/>
      <c r="I505" s="162"/>
      <c r="J505" s="162"/>
      <c r="K505" s="163"/>
      <c r="L505" s="140" t="s">
        <v>294</v>
      </c>
      <c r="M505" s="141"/>
      <c r="N505" s="144" t="s">
        <v>209</v>
      </c>
      <c r="O505" s="144"/>
      <c r="P505" s="144"/>
      <c r="Q505" s="144"/>
      <c r="R505" s="280">
        <f>(12+7)+(9+1+3)</f>
        <v>32</v>
      </c>
      <c r="S505" s="281"/>
      <c r="T505" s="63"/>
      <c r="V505" s="83"/>
      <c r="W505" s="83"/>
      <c r="X505" s="84"/>
      <c r="Y505" s="83"/>
    </row>
    <row r="506" spans="1:25" ht="19.5" customHeight="1">
      <c r="A506" s="39"/>
      <c r="B506" s="30"/>
      <c r="C506" s="30"/>
      <c r="D506" s="161" t="s">
        <v>800</v>
      </c>
      <c r="E506" s="162"/>
      <c r="F506" s="162"/>
      <c r="G506" s="162"/>
      <c r="H506" s="162"/>
      <c r="I506" s="162"/>
      <c r="J506" s="162"/>
      <c r="K506" s="163"/>
      <c r="L506" s="140" t="s">
        <v>294</v>
      </c>
      <c r="M506" s="141"/>
      <c r="N506" s="144" t="s">
        <v>50</v>
      </c>
      <c r="O506" s="144"/>
      <c r="P506" s="144"/>
      <c r="Q506" s="144"/>
      <c r="R506" s="280">
        <f>(12+7)+(9+1+3)</f>
        <v>32</v>
      </c>
      <c r="S506" s="281"/>
      <c r="T506" s="63"/>
      <c r="V506" s="83"/>
      <c r="W506" s="83"/>
      <c r="X506" s="84"/>
      <c r="Y506" s="83"/>
    </row>
    <row r="507" spans="1:25" ht="20.25" customHeight="1">
      <c r="A507" s="39"/>
      <c r="B507" s="30"/>
      <c r="C507" s="30"/>
      <c r="D507" s="181" t="s">
        <v>694</v>
      </c>
      <c r="E507" s="182"/>
      <c r="F507" s="182"/>
      <c r="G507" s="182"/>
      <c r="H507" s="182"/>
      <c r="I507" s="182"/>
      <c r="J507" s="182"/>
      <c r="K507" s="182"/>
      <c r="L507" s="140"/>
      <c r="M507" s="141"/>
      <c r="N507" s="144"/>
      <c r="O507" s="144"/>
      <c r="P507" s="144"/>
      <c r="Q507" s="144"/>
      <c r="R507" s="144"/>
      <c r="S507" s="144"/>
      <c r="T507" s="63"/>
      <c r="V507" s="83"/>
      <c r="W507" s="83"/>
      <c r="X507" s="84"/>
      <c r="Y507" s="83"/>
    </row>
    <row r="508" spans="1:25" ht="18.75" customHeight="1">
      <c r="A508" s="39"/>
      <c r="B508" s="30"/>
      <c r="C508" s="30"/>
      <c r="D508" s="166" t="s">
        <v>661</v>
      </c>
      <c r="E508" s="167"/>
      <c r="F508" s="167"/>
      <c r="G508" s="167"/>
      <c r="H508" s="167"/>
      <c r="I508" s="167"/>
      <c r="J508" s="167"/>
      <c r="K508" s="168"/>
      <c r="L508" s="140" t="s">
        <v>690</v>
      </c>
      <c r="M508" s="141"/>
      <c r="N508" s="140" t="s">
        <v>603</v>
      </c>
      <c r="O508" s="142"/>
      <c r="P508" s="142"/>
      <c r="Q508" s="141"/>
      <c r="R508" s="133">
        <f>60/3</f>
        <v>20</v>
      </c>
      <c r="S508" s="134"/>
      <c r="T508" s="107">
        <f>R508*R495</f>
        <v>60</v>
      </c>
      <c r="V508" s="83"/>
      <c r="W508" s="83"/>
      <c r="X508" s="84"/>
      <c r="Y508" s="83"/>
    </row>
    <row r="509" spans="1:25" ht="21.75" customHeight="1">
      <c r="A509" s="39"/>
      <c r="B509" s="30"/>
      <c r="C509" s="30"/>
      <c r="D509" s="137" t="s">
        <v>186</v>
      </c>
      <c r="E509" s="138"/>
      <c r="F509" s="138"/>
      <c r="G509" s="138"/>
      <c r="H509" s="138"/>
      <c r="I509" s="138"/>
      <c r="J509" s="138"/>
      <c r="K509" s="139"/>
      <c r="L509" s="140" t="s">
        <v>690</v>
      </c>
      <c r="M509" s="141"/>
      <c r="N509" s="140" t="s">
        <v>603</v>
      </c>
      <c r="O509" s="142"/>
      <c r="P509" s="142"/>
      <c r="Q509" s="141"/>
      <c r="R509" s="456">
        <v>400.292</v>
      </c>
      <c r="S509" s="457"/>
      <c r="T509" s="109">
        <f>R509</f>
        <v>400.292</v>
      </c>
      <c r="V509" s="83"/>
      <c r="W509" s="83"/>
      <c r="X509" s="92" t="s">
        <v>352</v>
      </c>
      <c r="Y509" s="83"/>
    </row>
    <row r="510" spans="1:25" ht="19.5" customHeight="1">
      <c r="A510" s="39"/>
      <c r="B510" s="30"/>
      <c r="C510" s="30"/>
      <c r="D510" s="137" t="s">
        <v>357</v>
      </c>
      <c r="E510" s="138"/>
      <c r="F510" s="138"/>
      <c r="G510" s="138"/>
      <c r="H510" s="138"/>
      <c r="I510" s="138"/>
      <c r="J510" s="138"/>
      <c r="K510" s="139"/>
      <c r="L510" s="140" t="s">
        <v>690</v>
      </c>
      <c r="M510" s="141"/>
      <c r="N510" s="140" t="s">
        <v>603</v>
      </c>
      <c r="O510" s="142"/>
      <c r="P510" s="142"/>
      <c r="Q510" s="141"/>
      <c r="R510" s="322">
        <f>R491</f>
        <v>1192.9280099999999</v>
      </c>
      <c r="S510" s="323"/>
      <c r="T510" s="108">
        <f>R510</f>
        <v>1192.9280099999999</v>
      </c>
      <c r="V510" s="83"/>
      <c r="W510" s="83"/>
      <c r="X510" s="92"/>
      <c r="Y510" s="83"/>
    </row>
    <row r="511" spans="1:25" ht="35.25" customHeight="1">
      <c r="A511" s="39"/>
      <c r="B511" s="30"/>
      <c r="C511" s="30"/>
      <c r="D511" s="285" t="s">
        <v>363</v>
      </c>
      <c r="E511" s="286"/>
      <c r="F511" s="286"/>
      <c r="G511" s="286"/>
      <c r="H511" s="286"/>
      <c r="I511" s="286"/>
      <c r="J511" s="286"/>
      <c r="K511" s="287"/>
      <c r="L511" s="140" t="s">
        <v>690</v>
      </c>
      <c r="M511" s="141"/>
      <c r="N511" s="140" t="s">
        <v>603</v>
      </c>
      <c r="O511" s="142"/>
      <c r="P511" s="142"/>
      <c r="Q511" s="141"/>
      <c r="R511" s="133">
        <f>(R487+R488+R489+R490)/4</f>
        <v>39.9215025</v>
      </c>
      <c r="S511" s="134"/>
      <c r="T511" s="107">
        <f>R511*4</f>
        <v>159.68601</v>
      </c>
      <c r="V511" s="83"/>
      <c r="W511" s="83"/>
      <c r="X511" s="84"/>
      <c r="Y511" s="83"/>
    </row>
    <row r="512" spans="1:25" ht="19.5" customHeight="1">
      <c r="A512" s="39"/>
      <c r="B512" s="30"/>
      <c r="C512" s="30"/>
      <c r="D512" s="277" t="s">
        <v>158</v>
      </c>
      <c r="E512" s="278"/>
      <c r="F512" s="278"/>
      <c r="G512" s="278"/>
      <c r="H512" s="278"/>
      <c r="I512" s="278"/>
      <c r="J512" s="278"/>
      <c r="K512" s="279"/>
      <c r="L512" s="140" t="s">
        <v>695</v>
      </c>
      <c r="M512" s="141"/>
      <c r="N512" s="140" t="s">
        <v>603</v>
      </c>
      <c r="O512" s="142"/>
      <c r="P512" s="142"/>
      <c r="Q512" s="141"/>
      <c r="R512" s="133">
        <f>R492/R502*1000</f>
        <v>5.65075212557227</v>
      </c>
      <c r="S512" s="134"/>
      <c r="T512" s="107">
        <f>R512*R502/1000</f>
        <v>34.56</v>
      </c>
      <c r="V512" s="83"/>
      <c r="W512" s="83"/>
      <c r="X512" s="84"/>
      <c r="Y512" s="83"/>
    </row>
    <row r="513" spans="1:25" ht="19.5" customHeight="1">
      <c r="A513" s="39"/>
      <c r="B513" s="30"/>
      <c r="C513" s="30"/>
      <c r="D513" s="277" t="s">
        <v>10</v>
      </c>
      <c r="E513" s="278"/>
      <c r="F513" s="278"/>
      <c r="G513" s="278"/>
      <c r="H513" s="278"/>
      <c r="I513" s="278"/>
      <c r="J513" s="278"/>
      <c r="K513" s="279"/>
      <c r="L513" s="140" t="s">
        <v>695</v>
      </c>
      <c r="M513" s="141"/>
      <c r="N513" s="140" t="s">
        <v>603</v>
      </c>
      <c r="O513" s="142"/>
      <c r="P513" s="142"/>
      <c r="Q513" s="141"/>
      <c r="R513" s="133">
        <f>(196.8166+76.07837)/R503*1000</f>
        <v>294.38508090614886</v>
      </c>
      <c r="S513" s="134"/>
      <c r="T513" s="107"/>
      <c r="V513" s="83"/>
      <c r="W513" s="83"/>
      <c r="X513" s="84"/>
      <c r="Y513" s="83"/>
    </row>
    <row r="514" spans="1:25" ht="19.5" customHeight="1">
      <c r="A514" s="39"/>
      <c r="B514" s="30"/>
      <c r="C514" s="30"/>
      <c r="D514" s="277" t="s">
        <v>801</v>
      </c>
      <c r="E514" s="278"/>
      <c r="F514" s="278"/>
      <c r="G514" s="278"/>
      <c r="H514" s="278"/>
      <c r="I514" s="278"/>
      <c r="J514" s="278"/>
      <c r="K514" s="279"/>
      <c r="L514" s="140" t="s">
        <v>695</v>
      </c>
      <c r="M514" s="141"/>
      <c r="N514" s="140" t="s">
        <v>603</v>
      </c>
      <c r="O514" s="142"/>
      <c r="P514" s="142"/>
      <c r="Q514" s="141"/>
      <c r="R514" s="133">
        <f>(3.1833+6.40043)/R505*1000</f>
        <v>299.4915625</v>
      </c>
      <c r="S514" s="134"/>
      <c r="T514" s="107"/>
      <c r="V514" s="83"/>
      <c r="W514" s="83"/>
      <c r="X514" s="84"/>
      <c r="Y514" s="83"/>
    </row>
    <row r="515" spans="1:25" ht="18.75" customHeight="1">
      <c r="A515" s="39"/>
      <c r="B515" s="30"/>
      <c r="C515" s="30"/>
      <c r="D515" s="181" t="s">
        <v>697</v>
      </c>
      <c r="E515" s="182"/>
      <c r="F515" s="182"/>
      <c r="G515" s="182"/>
      <c r="H515" s="182"/>
      <c r="I515" s="182"/>
      <c r="J515" s="182"/>
      <c r="K515" s="182"/>
      <c r="L515" s="140"/>
      <c r="M515" s="141"/>
      <c r="N515" s="144"/>
      <c r="O515" s="144"/>
      <c r="P515" s="144"/>
      <c r="Q515" s="144"/>
      <c r="R515" s="144"/>
      <c r="S515" s="144"/>
      <c r="T515" s="63"/>
      <c r="V515" s="83"/>
      <c r="W515" s="83"/>
      <c r="X515" s="84"/>
      <c r="Y515" s="83"/>
    </row>
    <row r="516" spans="1:25" ht="37.5" customHeight="1">
      <c r="A516" s="39"/>
      <c r="B516" s="30"/>
      <c r="C516" s="30"/>
      <c r="D516" s="143" t="s">
        <v>41</v>
      </c>
      <c r="E516" s="143"/>
      <c r="F516" s="143"/>
      <c r="G516" s="143"/>
      <c r="H516" s="143"/>
      <c r="I516" s="143"/>
      <c r="J516" s="143"/>
      <c r="K516" s="143"/>
      <c r="L516" s="144" t="s">
        <v>696</v>
      </c>
      <c r="M516" s="144"/>
      <c r="N516" s="140" t="s">
        <v>603</v>
      </c>
      <c r="O516" s="142"/>
      <c r="P516" s="142"/>
      <c r="Q516" s="141"/>
      <c r="R516" s="189">
        <f>60/60*100</f>
        <v>100</v>
      </c>
      <c r="S516" s="189"/>
      <c r="T516" s="63"/>
      <c r="V516" s="83"/>
      <c r="W516" s="83"/>
      <c r="X516" s="84"/>
      <c r="Y516" s="83"/>
    </row>
    <row r="517" spans="1:25" ht="49.5" customHeight="1">
      <c r="A517" s="39"/>
      <c r="B517" s="30"/>
      <c r="C517" s="30"/>
      <c r="D517" s="143" t="s">
        <v>364</v>
      </c>
      <c r="E517" s="143"/>
      <c r="F517" s="143"/>
      <c r="G517" s="143"/>
      <c r="H517" s="143"/>
      <c r="I517" s="143"/>
      <c r="J517" s="143"/>
      <c r="K517" s="143"/>
      <c r="L517" s="144" t="s">
        <v>696</v>
      </c>
      <c r="M517" s="144"/>
      <c r="N517" s="140" t="s">
        <v>603</v>
      </c>
      <c r="O517" s="142"/>
      <c r="P517" s="142"/>
      <c r="Q517" s="141"/>
      <c r="R517" s="189">
        <f>R497/R498*100</f>
        <v>100</v>
      </c>
      <c r="S517" s="189"/>
      <c r="T517" s="63"/>
      <c r="V517" s="83"/>
      <c r="W517" s="83"/>
      <c r="X517" s="84"/>
      <c r="Y517" s="83"/>
    </row>
    <row r="518" spans="1:25" ht="54" customHeight="1">
      <c r="A518" s="39"/>
      <c r="B518" s="30"/>
      <c r="C518" s="30"/>
      <c r="D518" s="143" t="s">
        <v>13</v>
      </c>
      <c r="E518" s="143"/>
      <c r="F518" s="143"/>
      <c r="G518" s="143"/>
      <c r="H518" s="143"/>
      <c r="I518" s="143"/>
      <c r="J518" s="143"/>
      <c r="K518" s="143"/>
      <c r="L518" s="144" t="s">
        <v>696</v>
      </c>
      <c r="M518" s="144"/>
      <c r="N518" s="144" t="s">
        <v>603</v>
      </c>
      <c r="O518" s="144"/>
      <c r="P518" s="144"/>
      <c r="Q518" s="144"/>
      <c r="R518" s="189">
        <f>R500/R499*100</f>
        <v>100</v>
      </c>
      <c r="S518" s="189"/>
      <c r="T518" s="63"/>
      <c r="V518" s="83"/>
      <c r="W518" s="83"/>
      <c r="X518" s="91"/>
      <c r="Y518" s="83"/>
    </row>
    <row r="519" spans="1:25" ht="35.25" customHeight="1">
      <c r="A519" s="39"/>
      <c r="B519" s="30"/>
      <c r="C519" s="30"/>
      <c r="D519" s="143" t="s">
        <v>11</v>
      </c>
      <c r="E519" s="143"/>
      <c r="F519" s="143"/>
      <c r="G519" s="143"/>
      <c r="H519" s="143"/>
      <c r="I519" s="143"/>
      <c r="J519" s="143"/>
      <c r="K519" s="143"/>
      <c r="L519" s="144" t="s">
        <v>696</v>
      </c>
      <c r="M519" s="144"/>
      <c r="N519" s="144" t="s">
        <v>603</v>
      </c>
      <c r="O519" s="144"/>
      <c r="P519" s="144"/>
      <c r="Q519" s="144"/>
      <c r="R519" s="189">
        <f>R504/R503*100</f>
        <v>100</v>
      </c>
      <c r="S519" s="189"/>
      <c r="T519" s="63"/>
      <c r="V519" s="83"/>
      <c r="W519" s="83"/>
      <c r="X519" s="84"/>
      <c r="Y519" s="83"/>
    </row>
    <row r="520" spans="1:25" ht="37.5" customHeight="1">
      <c r="A520" s="39"/>
      <c r="B520" s="30"/>
      <c r="C520" s="30"/>
      <c r="D520" s="143" t="s">
        <v>802</v>
      </c>
      <c r="E520" s="143"/>
      <c r="F520" s="143"/>
      <c r="G520" s="143"/>
      <c r="H520" s="143"/>
      <c r="I520" s="143"/>
      <c r="J520" s="143"/>
      <c r="K520" s="143"/>
      <c r="L520" s="144" t="s">
        <v>696</v>
      </c>
      <c r="M520" s="144"/>
      <c r="N520" s="144" t="s">
        <v>603</v>
      </c>
      <c r="O520" s="144"/>
      <c r="P520" s="144"/>
      <c r="Q520" s="144"/>
      <c r="R520" s="189">
        <f>R505/R506*100</f>
        <v>100</v>
      </c>
      <c r="S520" s="189"/>
      <c r="T520" s="63"/>
      <c r="V520" s="83"/>
      <c r="W520" s="83"/>
      <c r="X520" s="84"/>
      <c r="Y520" s="83"/>
    </row>
    <row r="521" spans="1:25" ht="12.75" customHeight="1">
      <c r="A521" s="39"/>
      <c r="B521" s="39"/>
      <c r="C521" s="39"/>
      <c r="D521" s="25"/>
      <c r="E521" s="25"/>
      <c r="F521" s="25"/>
      <c r="G521" s="25"/>
      <c r="H521" s="25"/>
      <c r="I521" s="25"/>
      <c r="J521" s="25"/>
      <c r="K521" s="25"/>
      <c r="L521" s="56"/>
      <c r="M521" s="56"/>
      <c r="N521" s="56"/>
      <c r="O521" s="56"/>
      <c r="P521" s="56"/>
      <c r="Q521" s="56"/>
      <c r="R521" s="68"/>
      <c r="S521" s="68"/>
      <c r="T521" s="63"/>
      <c r="V521" s="83"/>
      <c r="W521" s="83"/>
      <c r="X521" s="84"/>
      <c r="Y521" s="83"/>
    </row>
    <row r="522" spans="1:25" ht="38.25" customHeight="1">
      <c r="A522" s="39"/>
      <c r="B522" s="30" t="s">
        <v>683</v>
      </c>
      <c r="C522" s="30" t="s">
        <v>721</v>
      </c>
      <c r="D522" s="144" t="s">
        <v>225</v>
      </c>
      <c r="E522" s="144"/>
      <c r="F522" s="144"/>
      <c r="G522" s="144"/>
      <c r="H522" s="144"/>
      <c r="I522" s="144"/>
      <c r="J522" s="144"/>
      <c r="K522" s="144"/>
      <c r="L522" s="144" t="s">
        <v>715</v>
      </c>
      <c r="M522" s="144"/>
      <c r="N522" s="144" t="s">
        <v>687</v>
      </c>
      <c r="O522" s="144"/>
      <c r="P522" s="144"/>
      <c r="Q522" s="144"/>
      <c r="R522" s="144" t="s">
        <v>733</v>
      </c>
      <c r="S522" s="187"/>
      <c r="T522" s="63"/>
      <c r="V522" s="83"/>
      <c r="W522" s="83"/>
      <c r="X522" s="84"/>
      <c r="Y522" s="83"/>
    </row>
    <row r="523" spans="1:25" ht="15" customHeight="1">
      <c r="A523" s="39"/>
      <c r="B523" s="30">
        <v>1</v>
      </c>
      <c r="C523" s="30">
        <v>2</v>
      </c>
      <c r="D523" s="209">
        <v>3</v>
      </c>
      <c r="E523" s="209"/>
      <c r="F523" s="209"/>
      <c r="G523" s="209"/>
      <c r="H523" s="209"/>
      <c r="I523" s="209"/>
      <c r="J523" s="209"/>
      <c r="K523" s="209"/>
      <c r="L523" s="144">
        <v>4</v>
      </c>
      <c r="M523" s="144"/>
      <c r="N523" s="144">
        <v>5</v>
      </c>
      <c r="O523" s="144"/>
      <c r="P523" s="144"/>
      <c r="Q523" s="144"/>
      <c r="R523" s="144">
        <v>6</v>
      </c>
      <c r="S523" s="187"/>
      <c r="T523" s="63"/>
      <c r="V523" s="83"/>
      <c r="W523" s="83"/>
      <c r="X523" s="84"/>
      <c r="Y523" s="83"/>
    </row>
    <row r="524" spans="1:25" ht="20.25" customHeight="1">
      <c r="A524" s="39"/>
      <c r="B524" s="32">
        <v>1</v>
      </c>
      <c r="C524" s="32">
        <v>4016060</v>
      </c>
      <c r="D524" s="178" t="s">
        <v>717</v>
      </c>
      <c r="E524" s="179"/>
      <c r="F524" s="179"/>
      <c r="G524" s="179"/>
      <c r="H524" s="179"/>
      <c r="I524" s="179"/>
      <c r="J524" s="179"/>
      <c r="K524" s="179"/>
      <c r="L524" s="179"/>
      <c r="M524" s="179"/>
      <c r="N524" s="179"/>
      <c r="O524" s="179"/>
      <c r="P524" s="179"/>
      <c r="Q524" s="179"/>
      <c r="R524" s="179"/>
      <c r="S524" s="180"/>
      <c r="T524" s="63"/>
      <c r="V524" s="83"/>
      <c r="W524" s="83"/>
      <c r="X524" s="84"/>
      <c r="Y524" s="83"/>
    </row>
    <row r="525" spans="1:25" ht="22.5" customHeight="1">
      <c r="A525" s="39"/>
      <c r="B525" s="32"/>
      <c r="C525" s="32"/>
      <c r="D525" s="178" t="s">
        <v>663</v>
      </c>
      <c r="E525" s="179"/>
      <c r="F525" s="179"/>
      <c r="G525" s="179"/>
      <c r="H525" s="179"/>
      <c r="I525" s="179"/>
      <c r="J525" s="179"/>
      <c r="K525" s="179"/>
      <c r="L525" s="179"/>
      <c r="M525" s="179"/>
      <c r="N525" s="179"/>
      <c r="O525" s="179"/>
      <c r="P525" s="179"/>
      <c r="Q525" s="179"/>
      <c r="R525" s="179"/>
      <c r="S525" s="180"/>
      <c r="T525" s="63"/>
      <c r="V525" s="83"/>
      <c r="W525" s="83"/>
      <c r="X525" s="84"/>
      <c r="Y525" s="83"/>
    </row>
    <row r="526" spans="1:25" ht="18" customHeight="1">
      <c r="A526" s="39"/>
      <c r="B526" s="33"/>
      <c r="C526" s="41"/>
      <c r="D526" s="181" t="s">
        <v>688</v>
      </c>
      <c r="E526" s="182"/>
      <c r="F526" s="182"/>
      <c r="G526" s="182"/>
      <c r="H526" s="182"/>
      <c r="I526" s="182"/>
      <c r="J526" s="182"/>
      <c r="K526" s="183"/>
      <c r="L526" s="140"/>
      <c r="M526" s="141"/>
      <c r="N526" s="144"/>
      <c r="O526" s="144"/>
      <c r="P526" s="144"/>
      <c r="Q526" s="144"/>
      <c r="R526" s="144"/>
      <c r="S526" s="472"/>
      <c r="T526" s="63"/>
      <c r="V526" s="83"/>
      <c r="W526" s="83"/>
      <c r="X526" s="84"/>
      <c r="Y526" s="83"/>
    </row>
    <row r="527" spans="1:25" ht="18.75" customHeight="1">
      <c r="A527" s="39"/>
      <c r="B527" s="30"/>
      <c r="C527" s="30"/>
      <c r="D527" s="161" t="s">
        <v>589</v>
      </c>
      <c r="E527" s="162"/>
      <c r="F527" s="162"/>
      <c r="G527" s="162"/>
      <c r="H527" s="162"/>
      <c r="I527" s="162"/>
      <c r="J527" s="162"/>
      <c r="K527" s="163"/>
      <c r="L527" s="140" t="s">
        <v>690</v>
      </c>
      <c r="M527" s="141"/>
      <c r="N527" s="170" t="s">
        <v>568</v>
      </c>
      <c r="O527" s="170"/>
      <c r="P527" s="170"/>
      <c r="Q527" s="170"/>
      <c r="R527" s="490">
        <f>R528+R529+R530+R531+R532</f>
        <v>924.09644</v>
      </c>
      <c r="S527" s="491"/>
      <c r="T527" s="63"/>
      <c r="V527" s="83"/>
      <c r="W527" s="83"/>
      <c r="X527" s="84"/>
      <c r="Y527" s="83"/>
    </row>
    <row r="528" spans="1:25" ht="33.75" customHeight="1">
      <c r="A528" s="39"/>
      <c r="B528" s="30"/>
      <c r="C528" s="30"/>
      <c r="D528" s="161" t="s">
        <v>61</v>
      </c>
      <c r="E528" s="162"/>
      <c r="F528" s="162"/>
      <c r="G528" s="162"/>
      <c r="H528" s="162"/>
      <c r="I528" s="162"/>
      <c r="J528" s="162"/>
      <c r="K528" s="163"/>
      <c r="L528" s="140" t="s">
        <v>690</v>
      </c>
      <c r="M528" s="141"/>
      <c r="N528" s="144" t="s">
        <v>691</v>
      </c>
      <c r="O528" s="144"/>
      <c r="P528" s="144"/>
      <c r="Q528" s="144"/>
      <c r="R528" s="290">
        <f>400+100+547.5-17.1-10-32.7-100-30-200-20-15+100</f>
        <v>722.7</v>
      </c>
      <c r="S528" s="291"/>
      <c r="T528" s="116">
        <v>100</v>
      </c>
      <c r="V528" s="83"/>
      <c r="W528" s="83"/>
      <c r="X528" s="84"/>
      <c r="Y528" s="83"/>
    </row>
    <row r="529" spans="1:25" ht="18.75" customHeight="1">
      <c r="A529" s="39"/>
      <c r="B529" s="30"/>
      <c r="C529" s="30"/>
      <c r="D529" s="161" t="s">
        <v>295</v>
      </c>
      <c r="E529" s="162"/>
      <c r="F529" s="162"/>
      <c r="G529" s="162"/>
      <c r="H529" s="162"/>
      <c r="I529" s="162"/>
      <c r="J529" s="162"/>
      <c r="K529" s="163"/>
      <c r="L529" s="140" t="s">
        <v>690</v>
      </c>
      <c r="M529" s="141"/>
      <c r="N529" s="144" t="s">
        <v>691</v>
      </c>
      <c r="O529" s="144"/>
      <c r="P529" s="144"/>
      <c r="Q529" s="144"/>
      <c r="R529" s="295">
        <f>200-50.75656</f>
        <v>149.24344</v>
      </c>
      <c r="S529" s="296"/>
      <c r="T529" s="63"/>
      <c r="V529" s="83"/>
      <c r="W529" s="83"/>
      <c r="X529" s="84"/>
      <c r="Y529" s="83"/>
    </row>
    <row r="530" spans="1:25" ht="34.5" customHeight="1">
      <c r="A530" s="39"/>
      <c r="B530" s="30"/>
      <c r="C530" s="30"/>
      <c r="D530" s="161" t="s">
        <v>536</v>
      </c>
      <c r="E530" s="162"/>
      <c r="F530" s="162"/>
      <c r="G530" s="162"/>
      <c r="H530" s="162"/>
      <c r="I530" s="162"/>
      <c r="J530" s="162"/>
      <c r="K530" s="163"/>
      <c r="L530" s="140" t="s">
        <v>690</v>
      </c>
      <c r="M530" s="141"/>
      <c r="N530" s="144" t="s">
        <v>691</v>
      </c>
      <c r="O530" s="144"/>
      <c r="P530" s="144"/>
      <c r="Q530" s="144"/>
      <c r="R530" s="221">
        <f>100-82.947</f>
        <v>17.052999999999997</v>
      </c>
      <c r="S530" s="222"/>
      <c r="T530" s="63"/>
      <c r="V530" s="83"/>
      <c r="W530" s="83"/>
      <c r="X530" s="84"/>
      <c r="Y530" s="83"/>
    </row>
    <row r="531" spans="1:25" ht="51" customHeight="1">
      <c r="A531" s="39"/>
      <c r="B531" s="30"/>
      <c r="C531" s="30"/>
      <c r="D531" s="161" t="s">
        <v>6</v>
      </c>
      <c r="E531" s="162"/>
      <c r="F531" s="162"/>
      <c r="G531" s="162"/>
      <c r="H531" s="162"/>
      <c r="I531" s="162"/>
      <c r="J531" s="162"/>
      <c r="K531" s="163"/>
      <c r="L531" s="140" t="s">
        <v>690</v>
      </c>
      <c r="M531" s="141"/>
      <c r="N531" s="170" t="s">
        <v>217</v>
      </c>
      <c r="O531" s="170"/>
      <c r="P531" s="170"/>
      <c r="Q531" s="170"/>
      <c r="R531" s="295">
        <f>17.1+10+20-17</f>
        <v>30.1</v>
      </c>
      <c r="S531" s="296"/>
      <c r="T531" s="63"/>
      <c r="V531" s="83"/>
      <c r="W531" s="83"/>
      <c r="X531" s="84"/>
      <c r="Y531" s="83"/>
    </row>
    <row r="532" spans="1:25" ht="51" customHeight="1">
      <c r="A532" s="39"/>
      <c r="B532" s="30"/>
      <c r="C532" s="30"/>
      <c r="D532" s="161" t="s">
        <v>62</v>
      </c>
      <c r="E532" s="162"/>
      <c r="F532" s="162"/>
      <c r="G532" s="162"/>
      <c r="H532" s="162"/>
      <c r="I532" s="162"/>
      <c r="J532" s="162"/>
      <c r="K532" s="163"/>
      <c r="L532" s="140" t="s">
        <v>690</v>
      </c>
      <c r="M532" s="141"/>
      <c r="N532" s="170" t="s">
        <v>348</v>
      </c>
      <c r="O532" s="170"/>
      <c r="P532" s="170"/>
      <c r="Q532" s="170"/>
      <c r="R532" s="290">
        <v>5</v>
      </c>
      <c r="S532" s="291"/>
      <c r="T532" s="63"/>
      <c r="V532" s="83"/>
      <c r="W532" s="83"/>
      <c r="X532" s="84"/>
      <c r="Y532" s="83"/>
    </row>
    <row r="533" spans="1:25" ht="18" customHeight="1">
      <c r="A533" s="39"/>
      <c r="B533" s="30"/>
      <c r="C533" s="30"/>
      <c r="D533" s="181" t="s">
        <v>693</v>
      </c>
      <c r="E533" s="182"/>
      <c r="F533" s="182"/>
      <c r="G533" s="182"/>
      <c r="H533" s="182"/>
      <c r="I533" s="182"/>
      <c r="J533" s="182"/>
      <c r="K533" s="182"/>
      <c r="L533" s="140"/>
      <c r="M533" s="141"/>
      <c r="N533" s="140"/>
      <c r="O533" s="142"/>
      <c r="P533" s="142"/>
      <c r="Q533" s="141"/>
      <c r="R533" s="144"/>
      <c r="S533" s="144"/>
      <c r="T533" s="63"/>
      <c r="V533" s="83"/>
      <c r="W533" s="83"/>
      <c r="X533" s="84"/>
      <c r="Y533" s="83"/>
    </row>
    <row r="534" spans="1:25" ht="19.5" customHeight="1">
      <c r="A534" s="39"/>
      <c r="B534" s="30"/>
      <c r="C534" s="30"/>
      <c r="D534" s="166" t="s">
        <v>104</v>
      </c>
      <c r="E534" s="167"/>
      <c r="F534" s="167"/>
      <c r="G534" s="167"/>
      <c r="H534" s="167"/>
      <c r="I534" s="167"/>
      <c r="J534" s="167"/>
      <c r="K534" s="168"/>
      <c r="L534" s="140" t="s">
        <v>737</v>
      </c>
      <c r="M534" s="141"/>
      <c r="N534" s="140" t="s">
        <v>716</v>
      </c>
      <c r="O534" s="142"/>
      <c r="P534" s="142"/>
      <c r="Q534" s="141"/>
      <c r="R534" s="314">
        <f>667+42</f>
        <v>709</v>
      </c>
      <c r="S534" s="315"/>
      <c r="T534" s="63"/>
      <c r="V534" s="83"/>
      <c r="W534" s="83"/>
      <c r="X534" s="84"/>
      <c r="Y534" s="83"/>
    </row>
    <row r="535" spans="1:25" ht="19.5" customHeight="1">
      <c r="A535" s="39"/>
      <c r="B535" s="30"/>
      <c r="C535" s="30"/>
      <c r="D535" s="143" t="s">
        <v>103</v>
      </c>
      <c r="E535" s="143"/>
      <c r="F535" s="143"/>
      <c r="G535" s="143"/>
      <c r="H535" s="143"/>
      <c r="I535" s="143"/>
      <c r="J535" s="143"/>
      <c r="K535" s="143"/>
      <c r="L535" s="140" t="s">
        <v>737</v>
      </c>
      <c r="M535" s="141"/>
      <c r="N535" s="355" t="s">
        <v>658</v>
      </c>
      <c r="O535" s="356"/>
      <c r="P535" s="356"/>
      <c r="Q535" s="357"/>
      <c r="R535" s="492">
        <f>667+42</f>
        <v>709</v>
      </c>
      <c r="S535" s="493"/>
      <c r="T535" s="63"/>
      <c r="V535" s="83"/>
      <c r="W535" s="83"/>
      <c r="X535" s="84"/>
      <c r="Y535" s="83"/>
    </row>
    <row r="536" spans="1:25" ht="19.5" customHeight="1">
      <c r="A536" s="39"/>
      <c r="B536" s="30"/>
      <c r="C536" s="30"/>
      <c r="D536" s="137" t="s">
        <v>63</v>
      </c>
      <c r="E536" s="138"/>
      <c r="F536" s="138"/>
      <c r="G536" s="138"/>
      <c r="H536" s="138"/>
      <c r="I536" s="138"/>
      <c r="J536" s="138"/>
      <c r="K536" s="139"/>
      <c r="L536" s="140" t="s">
        <v>737</v>
      </c>
      <c r="M536" s="141"/>
      <c r="N536" s="144" t="s">
        <v>296</v>
      </c>
      <c r="O536" s="144"/>
      <c r="P536" s="144"/>
      <c r="Q536" s="144"/>
      <c r="R536" s="280">
        <v>10500</v>
      </c>
      <c r="S536" s="281"/>
      <c r="T536" s="63"/>
      <c r="V536" s="83"/>
      <c r="W536" s="83"/>
      <c r="X536" s="84"/>
      <c r="Y536" s="83"/>
    </row>
    <row r="537" spans="1:25" ht="19.5" customHeight="1">
      <c r="A537" s="39"/>
      <c r="B537" s="30"/>
      <c r="C537" s="30"/>
      <c r="D537" s="137" t="s">
        <v>64</v>
      </c>
      <c r="E537" s="138"/>
      <c r="F537" s="138"/>
      <c r="G537" s="138"/>
      <c r="H537" s="138"/>
      <c r="I537" s="138"/>
      <c r="J537" s="138"/>
      <c r="K537" s="139"/>
      <c r="L537" s="140" t="s">
        <v>737</v>
      </c>
      <c r="M537" s="141"/>
      <c r="N537" s="355" t="s">
        <v>658</v>
      </c>
      <c r="O537" s="356"/>
      <c r="P537" s="356"/>
      <c r="Q537" s="357"/>
      <c r="R537" s="351">
        <v>10500</v>
      </c>
      <c r="S537" s="352"/>
      <c r="T537" s="63"/>
      <c r="V537" s="83"/>
      <c r="W537" s="83"/>
      <c r="X537" s="86" t="s">
        <v>739</v>
      </c>
      <c r="Y537" s="83"/>
    </row>
    <row r="538" spans="1:25" ht="53.25" customHeight="1">
      <c r="A538" s="39"/>
      <c r="B538" s="30"/>
      <c r="C538" s="30"/>
      <c r="D538" s="261" t="s">
        <v>470</v>
      </c>
      <c r="E538" s="262"/>
      <c r="F538" s="262"/>
      <c r="G538" s="262"/>
      <c r="H538" s="262"/>
      <c r="I538" s="262"/>
      <c r="J538" s="262"/>
      <c r="K538" s="263"/>
      <c r="L538" s="140" t="s">
        <v>737</v>
      </c>
      <c r="M538" s="141"/>
      <c r="N538" s="144" t="s">
        <v>779</v>
      </c>
      <c r="O538" s="144"/>
      <c r="P538" s="144"/>
      <c r="Q538" s="144"/>
      <c r="R538" s="351">
        <v>2</v>
      </c>
      <c r="S538" s="352"/>
      <c r="T538" s="63"/>
      <c r="V538" s="83"/>
      <c r="W538" s="83"/>
      <c r="X538" s="86"/>
      <c r="Y538" s="83"/>
    </row>
    <row r="539" spans="1:25" ht="19.5" customHeight="1">
      <c r="A539" s="39"/>
      <c r="B539" s="30"/>
      <c r="C539" s="30"/>
      <c r="D539" s="261" t="s">
        <v>471</v>
      </c>
      <c r="E539" s="262"/>
      <c r="F539" s="262"/>
      <c r="G539" s="262"/>
      <c r="H539" s="262"/>
      <c r="I539" s="262"/>
      <c r="J539" s="262"/>
      <c r="K539" s="263"/>
      <c r="L539" s="140" t="s">
        <v>737</v>
      </c>
      <c r="M539" s="141"/>
      <c r="N539" s="144" t="s">
        <v>691</v>
      </c>
      <c r="O539" s="144"/>
      <c r="P539" s="144"/>
      <c r="Q539" s="144"/>
      <c r="R539" s="351">
        <v>2</v>
      </c>
      <c r="S539" s="352"/>
      <c r="T539" s="63"/>
      <c r="V539" s="83"/>
      <c r="W539" s="83"/>
      <c r="X539" s="84"/>
      <c r="Y539" s="83"/>
    </row>
    <row r="540" spans="1:25" ht="36" customHeight="1">
      <c r="A540" s="39"/>
      <c r="B540" s="30"/>
      <c r="C540" s="30"/>
      <c r="D540" s="261" t="s">
        <v>218</v>
      </c>
      <c r="E540" s="262"/>
      <c r="F540" s="262"/>
      <c r="G540" s="262"/>
      <c r="H540" s="262"/>
      <c r="I540" s="262"/>
      <c r="J540" s="262"/>
      <c r="K540" s="263"/>
      <c r="L540" s="140" t="s">
        <v>737</v>
      </c>
      <c r="M540" s="141"/>
      <c r="N540" s="170" t="s">
        <v>543</v>
      </c>
      <c r="O540" s="170"/>
      <c r="P540" s="170"/>
      <c r="Q540" s="170"/>
      <c r="R540" s="349">
        <f>3-1</f>
        <v>2</v>
      </c>
      <c r="S540" s="350"/>
      <c r="T540" s="63"/>
      <c r="V540" s="83"/>
      <c r="W540" s="83"/>
      <c r="X540" s="84"/>
      <c r="Y540" s="83"/>
    </row>
    <row r="541" spans="1:25" ht="19.5" customHeight="1">
      <c r="A541" s="39"/>
      <c r="B541" s="30"/>
      <c r="C541" s="30"/>
      <c r="D541" s="261" t="s">
        <v>219</v>
      </c>
      <c r="E541" s="262"/>
      <c r="F541" s="262"/>
      <c r="G541" s="262"/>
      <c r="H541" s="262"/>
      <c r="I541" s="262"/>
      <c r="J541" s="262"/>
      <c r="K541" s="263"/>
      <c r="L541" s="140" t="s">
        <v>737</v>
      </c>
      <c r="M541" s="141"/>
      <c r="N541" s="170" t="s">
        <v>217</v>
      </c>
      <c r="O541" s="170"/>
      <c r="P541" s="170"/>
      <c r="Q541" s="170"/>
      <c r="R541" s="349">
        <f>1+2-1</f>
        <v>2</v>
      </c>
      <c r="S541" s="350"/>
      <c r="T541" s="63"/>
      <c r="V541" s="83"/>
      <c r="W541" s="83"/>
      <c r="X541" s="84"/>
      <c r="Y541" s="83"/>
    </row>
    <row r="542" spans="1:25" ht="18" customHeight="1">
      <c r="A542" s="39"/>
      <c r="B542" s="30"/>
      <c r="C542" s="30"/>
      <c r="D542" s="181" t="s">
        <v>694</v>
      </c>
      <c r="E542" s="182"/>
      <c r="F542" s="182"/>
      <c r="G542" s="182"/>
      <c r="H542" s="182"/>
      <c r="I542" s="182"/>
      <c r="J542" s="182"/>
      <c r="K542" s="182"/>
      <c r="L542" s="140"/>
      <c r="M542" s="141"/>
      <c r="N542" s="144"/>
      <c r="O542" s="144"/>
      <c r="P542" s="144"/>
      <c r="Q542" s="144"/>
      <c r="R542" s="144"/>
      <c r="S542" s="144"/>
      <c r="T542" s="107"/>
      <c r="V542" s="83"/>
      <c r="W542" s="83"/>
      <c r="X542" s="84"/>
      <c r="Y542" s="83"/>
    </row>
    <row r="543" spans="1:25" ht="19.5" customHeight="1">
      <c r="A543" s="39"/>
      <c r="B543" s="30"/>
      <c r="C543" s="30"/>
      <c r="D543" s="166" t="s">
        <v>100</v>
      </c>
      <c r="E543" s="167"/>
      <c r="F543" s="167"/>
      <c r="G543" s="167"/>
      <c r="H543" s="167"/>
      <c r="I543" s="167"/>
      <c r="J543" s="167"/>
      <c r="K543" s="168"/>
      <c r="L543" s="140" t="s">
        <v>690</v>
      </c>
      <c r="M543" s="141"/>
      <c r="N543" s="140" t="s">
        <v>603</v>
      </c>
      <c r="O543" s="142"/>
      <c r="P543" s="142"/>
      <c r="Q543" s="141"/>
      <c r="R543" s="135">
        <f>R528/R535</f>
        <v>1.0193229901269394</v>
      </c>
      <c r="S543" s="136"/>
      <c r="T543" s="107">
        <f>R543*R534</f>
        <v>722.7</v>
      </c>
      <c r="V543" s="83"/>
      <c r="W543" s="83"/>
      <c r="X543" s="84"/>
      <c r="Y543" s="83"/>
    </row>
    <row r="544" spans="1:25" ht="27" customHeight="1">
      <c r="A544" s="39"/>
      <c r="B544" s="30"/>
      <c r="C544" s="30"/>
      <c r="D544" s="166" t="s">
        <v>65</v>
      </c>
      <c r="E544" s="167"/>
      <c r="F544" s="167"/>
      <c r="G544" s="167"/>
      <c r="H544" s="167"/>
      <c r="I544" s="167"/>
      <c r="J544" s="167"/>
      <c r="K544" s="168"/>
      <c r="L544" s="140" t="s">
        <v>690</v>
      </c>
      <c r="M544" s="141"/>
      <c r="N544" s="140" t="s">
        <v>603</v>
      </c>
      <c r="O544" s="142"/>
      <c r="P544" s="142"/>
      <c r="Q544" s="141"/>
      <c r="R544" s="135">
        <f>R529/R536</f>
        <v>0.014213660952380951</v>
      </c>
      <c r="S544" s="136"/>
      <c r="T544" s="107">
        <f>R544*R536</f>
        <v>149.24344</v>
      </c>
      <c r="V544" s="83"/>
      <c r="W544" s="83"/>
      <c r="X544" s="84"/>
      <c r="Y544" s="83"/>
    </row>
    <row r="545" spans="1:25" ht="20.25" customHeight="1">
      <c r="A545" s="39"/>
      <c r="B545" s="30"/>
      <c r="C545" s="30"/>
      <c r="D545" s="166" t="s">
        <v>486</v>
      </c>
      <c r="E545" s="167"/>
      <c r="F545" s="167"/>
      <c r="G545" s="167"/>
      <c r="H545" s="167"/>
      <c r="I545" s="167"/>
      <c r="J545" s="167"/>
      <c r="K545" s="168"/>
      <c r="L545" s="140" t="s">
        <v>690</v>
      </c>
      <c r="M545" s="141"/>
      <c r="N545" s="140" t="s">
        <v>603</v>
      </c>
      <c r="O545" s="142"/>
      <c r="P545" s="142"/>
      <c r="Q545" s="141"/>
      <c r="R545" s="133">
        <f>(R530+R532)/R539</f>
        <v>11.026499999999999</v>
      </c>
      <c r="S545" s="134"/>
      <c r="T545" s="107">
        <f>R545*R539</f>
        <v>22.052999999999997</v>
      </c>
      <c r="V545" s="83"/>
      <c r="W545" s="83"/>
      <c r="X545" s="84"/>
      <c r="Y545" s="83"/>
    </row>
    <row r="546" spans="1:25" ht="20.25" customHeight="1">
      <c r="A546" s="39"/>
      <c r="B546" s="30"/>
      <c r="C546" s="30"/>
      <c r="D546" s="166" t="s">
        <v>223</v>
      </c>
      <c r="E546" s="167"/>
      <c r="F546" s="167"/>
      <c r="G546" s="167"/>
      <c r="H546" s="167"/>
      <c r="I546" s="167"/>
      <c r="J546" s="167"/>
      <c r="K546" s="168"/>
      <c r="L546" s="140" t="s">
        <v>690</v>
      </c>
      <c r="M546" s="141"/>
      <c r="N546" s="140" t="s">
        <v>603</v>
      </c>
      <c r="O546" s="142"/>
      <c r="P546" s="142"/>
      <c r="Q546" s="141"/>
      <c r="R546" s="133">
        <f>R531/R540</f>
        <v>15.05</v>
      </c>
      <c r="S546" s="134"/>
      <c r="T546" s="107">
        <f>R546*R540</f>
        <v>30.1</v>
      </c>
      <c r="V546" s="83"/>
      <c r="W546" s="83"/>
      <c r="X546" s="84"/>
      <c r="Y546" s="83"/>
    </row>
    <row r="547" spans="1:25" ht="19.5" customHeight="1">
      <c r="A547" s="39"/>
      <c r="B547" s="30"/>
      <c r="C547" s="30"/>
      <c r="D547" s="181" t="s">
        <v>697</v>
      </c>
      <c r="E547" s="182"/>
      <c r="F547" s="182"/>
      <c r="G547" s="182"/>
      <c r="H547" s="182"/>
      <c r="I547" s="182"/>
      <c r="J547" s="182"/>
      <c r="K547" s="182"/>
      <c r="L547" s="140"/>
      <c r="M547" s="141"/>
      <c r="N547" s="144"/>
      <c r="O547" s="144"/>
      <c r="P547" s="144"/>
      <c r="Q547" s="144"/>
      <c r="R547" s="144"/>
      <c r="S547" s="144"/>
      <c r="T547" s="63"/>
      <c r="V547" s="83"/>
      <c r="W547" s="83"/>
      <c r="X547" s="84"/>
      <c r="Y547" s="83"/>
    </row>
    <row r="548" spans="1:25" ht="34.5" customHeight="1">
      <c r="A548" s="39"/>
      <c r="B548" s="30"/>
      <c r="C548" s="30"/>
      <c r="D548" s="143" t="s">
        <v>101</v>
      </c>
      <c r="E548" s="143"/>
      <c r="F548" s="143"/>
      <c r="G548" s="143"/>
      <c r="H548" s="143"/>
      <c r="I548" s="143"/>
      <c r="J548" s="143"/>
      <c r="K548" s="143"/>
      <c r="L548" s="144" t="s">
        <v>696</v>
      </c>
      <c r="M548" s="144"/>
      <c r="N548" s="140" t="s">
        <v>603</v>
      </c>
      <c r="O548" s="142"/>
      <c r="P548" s="142"/>
      <c r="Q548" s="141"/>
      <c r="R548" s="189">
        <f>R535/R534*100</f>
        <v>100</v>
      </c>
      <c r="S548" s="189"/>
      <c r="T548" s="63"/>
      <c r="V548" s="83"/>
      <c r="W548" s="83"/>
      <c r="X548" s="84"/>
      <c r="Y548" s="83"/>
    </row>
    <row r="549" spans="1:25" ht="35.25" customHeight="1">
      <c r="A549" s="39"/>
      <c r="B549" s="30"/>
      <c r="C549" s="30"/>
      <c r="D549" s="143" t="s">
        <v>494</v>
      </c>
      <c r="E549" s="143"/>
      <c r="F549" s="143"/>
      <c r="G549" s="143"/>
      <c r="H549" s="143"/>
      <c r="I549" s="143"/>
      <c r="J549" s="143"/>
      <c r="K549" s="143"/>
      <c r="L549" s="144" t="s">
        <v>696</v>
      </c>
      <c r="M549" s="144"/>
      <c r="N549" s="140" t="s">
        <v>603</v>
      </c>
      <c r="O549" s="142"/>
      <c r="P549" s="142"/>
      <c r="Q549" s="141"/>
      <c r="R549" s="189">
        <f>R537/R536*100</f>
        <v>100</v>
      </c>
      <c r="S549" s="189"/>
      <c r="T549" s="63"/>
      <c r="V549" s="83"/>
      <c r="W549" s="83"/>
      <c r="X549" s="84"/>
      <c r="Y549" s="83"/>
    </row>
    <row r="550" spans="1:25" ht="36" customHeight="1">
      <c r="A550" s="39"/>
      <c r="B550" s="30"/>
      <c r="C550" s="30"/>
      <c r="D550" s="166" t="s">
        <v>220</v>
      </c>
      <c r="E550" s="167"/>
      <c r="F550" s="167"/>
      <c r="G550" s="167"/>
      <c r="H550" s="167"/>
      <c r="I550" s="167"/>
      <c r="J550" s="167"/>
      <c r="K550" s="168"/>
      <c r="L550" s="140" t="s">
        <v>696</v>
      </c>
      <c r="M550" s="141"/>
      <c r="N550" s="140" t="s">
        <v>603</v>
      </c>
      <c r="O550" s="142"/>
      <c r="P550" s="142"/>
      <c r="Q550" s="141"/>
      <c r="R550" s="133">
        <f>R539/R538*100</f>
        <v>100</v>
      </c>
      <c r="S550" s="134"/>
      <c r="T550" s="63"/>
      <c r="V550" s="83"/>
      <c r="W550" s="83"/>
      <c r="X550" s="84"/>
      <c r="Y550" s="83"/>
    </row>
    <row r="551" spans="1:25" ht="36" customHeight="1">
      <c r="A551" s="39"/>
      <c r="B551" s="30"/>
      <c r="C551" s="30"/>
      <c r="D551" s="166" t="s">
        <v>221</v>
      </c>
      <c r="E551" s="167"/>
      <c r="F551" s="167"/>
      <c r="G551" s="167"/>
      <c r="H551" s="167"/>
      <c r="I551" s="167"/>
      <c r="J551" s="167"/>
      <c r="K551" s="168"/>
      <c r="L551" s="140" t="s">
        <v>696</v>
      </c>
      <c r="M551" s="141"/>
      <c r="N551" s="140" t="s">
        <v>603</v>
      </c>
      <c r="O551" s="142"/>
      <c r="P551" s="142"/>
      <c r="Q551" s="141"/>
      <c r="R551" s="384">
        <f>R541/R540*100</f>
        <v>100</v>
      </c>
      <c r="S551" s="385"/>
      <c r="T551" s="63"/>
      <c r="V551" s="83"/>
      <c r="W551" s="83"/>
      <c r="X551" s="84"/>
      <c r="Y551" s="83"/>
    </row>
    <row r="552" spans="1:25" ht="8.25" customHeight="1">
      <c r="A552" s="39"/>
      <c r="B552" s="39"/>
      <c r="C552" s="39"/>
      <c r="D552" s="25"/>
      <c r="E552" s="25"/>
      <c r="F552" s="25"/>
      <c r="G552" s="25"/>
      <c r="H552" s="25"/>
      <c r="I552" s="25"/>
      <c r="J552" s="25"/>
      <c r="K552" s="25"/>
      <c r="L552" s="56"/>
      <c r="M552" s="56"/>
      <c r="N552" s="56"/>
      <c r="O552" s="56"/>
      <c r="P552" s="56"/>
      <c r="Q552" s="56"/>
      <c r="R552" s="68"/>
      <c r="S552" s="68"/>
      <c r="T552" s="63"/>
      <c r="V552" s="83"/>
      <c r="W552" s="83"/>
      <c r="X552" s="84"/>
      <c r="Y552" s="83"/>
    </row>
    <row r="553" spans="1:25" ht="33.75" customHeight="1">
      <c r="A553" s="39"/>
      <c r="B553" s="30" t="s">
        <v>683</v>
      </c>
      <c r="C553" s="30" t="s">
        <v>721</v>
      </c>
      <c r="D553" s="144" t="s">
        <v>225</v>
      </c>
      <c r="E553" s="144"/>
      <c r="F553" s="144"/>
      <c r="G553" s="144"/>
      <c r="H553" s="144"/>
      <c r="I553" s="144"/>
      <c r="J553" s="144"/>
      <c r="K553" s="144"/>
      <c r="L553" s="140" t="s">
        <v>715</v>
      </c>
      <c r="M553" s="141"/>
      <c r="N553" s="144" t="s">
        <v>687</v>
      </c>
      <c r="O553" s="144"/>
      <c r="P553" s="144"/>
      <c r="Q553" s="144"/>
      <c r="R553" s="144" t="s">
        <v>733</v>
      </c>
      <c r="S553" s="187"/>
      <c r="T553" s="63"/>
      <c r="V553" s="83"/>
      <c r="W553" s="83"/>
      <c r="X553" s="84"/>
      <c r="Y553" s="83"/>
    </row>
    <row r="554" spans="1:25" ht="19.5" customHeight="1">
      <c r="A554" s="39"/>
      <c r="B554" s="30">
        <v>1</v>
      </c>
      <c r="C554" s="30">
        <v>2</v>
      </c>
      <c r="D554" s="205">
        <v>3</v>
      </c>
      <c r="E554" s="206"/>
      <c r="F554" s="206"/>
      <c r="G554" s="206"/>
      <c r="H554" s="206"/>
      <c r="I554" s="206"/>
      <c r="J554" s="206"/>
      <c r="K554" s="207"/>
      <c r="L554" s="140">
        <v>4</v>
      </c>
      <c r="M554" s="141"/>
      <c r="N554" s="144">
        <v>5</v>
      </c>
      <c r="O554" s="144"/>
      <c r="P554" s="144"/>
      <c r="Q554" s="144"/>
      <c r="R554" s="144">
        <v>6</v>
      </c>
      <c r="S554" s="187"/>
      <c r="T554" s="63"/>
      <c r="V554" s="83"/>
      <c r="W554" s="83"/>
      <c r="X554" s="84"/>
      <c r="Y554" s="83"/>
    </row>
    <row r="555" spans="1:25" ht="18.75" customHeight="1">
      <c r="A555" s="39"/>
      <c r="B555" s="32">
        <v>1</v>
      </c>
      <c r="C555" s="32">
        <v>4016060</v>
      </c>
      <c r="D555" s="178" t="s">
        <v>717</v>
      </c>
      <c r="E555" s="179"/>
      <c r="F555" s="179"/>
      <c r="G555" s="179"/>
      <c r="H555" s="179"/>
      <c r="I555" s="179"/>
      <c r="J555" s="179"/>
      <c r="K555" s="179"/>
      <c r="L555" s="179"/>
      <c r="M555" s="179"/>
      <c r="N555" s="179"/>
      <c r="O555" s="179"/>
      <c r="P555" s="179"/>
      <c r="Q555" s="179"/>
      <c r="R555" s="179"/>
      <c r="S555" s="180"/>
      <c r="T555" s="63"/>
      <c r="V555" s="83"/>
      <c r="W555" s="83"/>
      <c r="X555" s="84"/>
      <c r="Y555" s="83"/>
    </row>
    <row r="556" spans="1:25" ht="19.5" customHeight="1">
      <c r="A556" s="39"/>
      <c r="B556" s="32"/>
      <c r="C556" s="32"/>
      <c r="D556" s="178" t="s">
        <v>666</v>
      </c>
      <c r="E556" s="179"/>
      <c r="F556" s="179"/>
      <c r="G556" s="179"/>
      <c r="H556" s="179"/>
      <c r="I556" s="179"/>
      <c r="J556" s="179"/>
      <c r="K556" s="179"/>
      <c r="L556" s="179"/>
      <c r="M556" s="179"/>
      <c r="N556" s="179"/>
      <c r="O556" s="179"/>
      <c r="P556" s="179"/>
      <c r="Q556" s="179"/>
      <c r="R556" s="179"/>
      <c r="S556" s="180"/>
      <c r="T556" s="63"/>
      <c r="V556" s="83"/>
      <c r="W556" s="83"/>
      <c r="X556" s="84"/>
      <c r="Y556" s="83"/>
    </row>
    <row r="557" spans="1:25" ht="21" customHeight="1">
      <c r="A557" s="39"/>
      <c r="B557" s="33"/>
      <c r="C557" s="41"/>
      <c r="D557" s="181" t="s">
        <v>688</v>
      </c>
      <c r="E557" s="182"/>
      <c r="F557" s="182"/>
      <c r="G557" s="182"/>
      <c r="H557" s="182"/>
      <c r="I557" s="182"/>
      <c r="J557" s="182"/>
      <c r="K557" s="183"/>
      <c r="L557" s="140"/>
      <c r="M557" s="141"/>
      <c r="N557" s="144"/>
      <c r="O557" s="144"/>
      <c r="P557" s="144"/>
      <c r="Q557" s="144"/>
      <c r="R557" s="144"/>
      <c r="S557" s="187"/>
      <c r="T557" s="63"/>
      <c r="V557" s="83"/>
      <c r="W557" s="83"/>
      <c r="X557" s="84"/>
      <c r="Y557" s="83"/>
    </row>
    <row r="558" spans="1:25" ht="21.75" customHeight="1">
      <c r="A558" s="39"/>
      <c r="B558" s="33"/>
      <c r="C558" s="41"/>
      <c r="D558" s="161" t="s">
        <v>600</v>
      </c>
      <c r="E558" s="162"/>
      <c r="F558" s="162"/>
      <c r="G558" s="162"/>
      <c r="H558" s="162"/>
      <c r="I558" s="162"/>
      <c r="J558" s="162"/>
      <c r="K558" s="163"/>
      <c r="L558" s="140" t="s">
        <v>690</v>
      </c>
      <c r="M558" s="141"/>
      <c r="N558" s="170" t="s">
        <v>568</v>
      </c>
      <c r="O558" s="170"/>
      <c r="P558" s="170"/>
      <c r="Q558" s="170"/>
      <c r="R558" s="295">
        <f>O61</f>
        <v>600</v>
      </c>
      <c r="S558" s="141"/>
      <c r="T558" s="63"/>
      <c r="V558" s="83"/>
      <c r="W558" s="83"/>
      <c r="X558" s="84"/>
      <c r="Y558" s="83"/>
    </row>
    <row r="559" spans="1:25" ht="19.5" customHeight="1">
      <c r="A559" s="39"/>
      <c r="B559" s="30"/>
      <c r="C559" s="30"/>
      <c r="D559" s="321" t="s">
        <v>693</v>
      </c>
      <c r="E559" s="321"/>
      <c r="F559" s="321"/>
      <c r="G559" s="321"/>
      <c r="H559" s="321"/>
      <c r="I559" s="321"/>
      <c r="J559" s="321"/>
      <c r="K559" s="321"/>
      <c r="L559" s="144"/>
      <c r="M559" s="144"/>
      <c r="N559" s="144"/>
      <c r="O559" s="144"/>
      <c r="P559" s="144"/>
      <c r="Q559" s="144"/>
      <c r="R559" s="144"/>
      <c r="S559" s="187"/>
      <c r="T559" s="63"/>
      <c r="V559" s="83"/>
      <c r="W559" s="83"/>
      <c r="X559" s="84"/>
      <c r="Y559" s="83"/>
    </row>
    <row r="560" spans="1:25" ht="34.5" customHeight="1">
      <c r="A560" s="39"/>
      <c r="B560" s="30"/>
      <c r="C560" s="30"/>
      <c r="D560" s="143" t="s">
        <v>665</v>
      </c>
      <c r="E560" s="143"/>
      <c r="F560" s="143"/>
      <c r="G560" s="143"/>
      <c r="H560" s="143"/>
      <c r="I560" s="143"/>
      <c r="J560" s="143"/>
      <c r="K560" s="143"/>
      <c r="L560" s="140" t="s">
        <v>668</v>
      </c>
      <c r="M560" s="141"/>
      <c r="N560" s="282" t="s">
        <v>209</v>
      </c>
      <c r="O560" s="282"/>
      <c r="P560" s="282"/>
      <c r="Q560" s="282"/>
      <c r="R560" s="325">
        <f>(2613+1534+2150+2348+3218+950)/1000</f>
        <v>12.813</v>
      </c>
      <c r="S560" s="326"/>
      <c r="T560" s="63"/>
      <c r="V560" s="83"/>
      <c r="W560" s="83"/>
      <c r="X560" s="84"/>
      <c r="Y560" s="83"/>
    </row>
    <row r="561" spans="1:25" ht="36.75" customHeight="1">
      <c r="A561" s="39"/>
      <c r="B561" s="30"/>
      <c r="C561" s="30"/>
      <c r="D561" s="143" t="s">
        <v>667</v>
      </c>
      <c r="E561" s="143"/>
      <c r="F561" s="143"/>
      <c r="G561" s="143"/>
      <c r="H561" s="143"/>
      <c r="I561" s="143"/>
      <c r="J561" s="143"/>
      <c r="K561" s="143"/>
      <c r="L561" s="140" t="s">
        <v>668</v>
      </c>
      <c r="M561" s="141"/>
      <c r="N561" s="144" t="s">
        <v>691</v>
      </c>
      <c r="O561" s="144"/>
      <c r="P561" s="144"/>
      <c r="Q561" s="144"/>
      <c r="R561" s="325">
        <f>(2613+1534+2150+2348+3218+950)/1000</f>
        <v>12.813</v>
      </c>
      <c r="S561" s="326"/>
      <c r="T561" s="63"/>
      <c r="V561" s="83"/>
      <c r="W561" s="83"/>
      <c r="X561" s="84"/>
      <c r="Y561" s="83"/>
    </row>
    <row r="562" spans="1:25" ht="21.75" customHeight="1">
      <c r="A562" s="39"/>
      <c r="B562" s="30"/>
      <c r="C562" s="30"/>
      <c r="D562" s="321" t="s">
        <v>694</v>
      </c>
      <c r="E562" s="321"/>
      <c r="F562" s="321"/>
      <c r="G562" s="321"/>
      <c r="H562" s="321"/>
      <c r="I562" s="321"/>
      <c r="J562" s="321"/>
      <c r="K562" s="321"/>
      <c r="L562" s="144"/>
      <c r="M562" s="144"/>
      <c r="N562" s="144"/>
      <c r="O562" s="144"/>
      <c r="P562" s="144"/>
      <c r="Q562" s="144"/>
      <c r="R562" s="189"/>
      <c r="S562" s="189"/>
      <c r="T562" s="63"/>
      <c r="V562" s="83"/>
      <c r="W562" s="83"/>
      <c r="X562" s="84"/>
      <c r="Y562" s="83"/>
    </row>
    <row r="563" spans="1:25" ht="30" customHeight="1">
      <c r="A563" s="39"/>
      <c r="B563" s="30"/>
      <c r="C563" s="30"/>
      <c r="D563" s="143" t="s">
        <v>239</v>
      </c>
      <c r="E563" s="143"/>
      <c r="F563" s="143"/>
      <c r="G563" s="143"/>
      <c r="H563" s="143"/>
      <c r="I563" s="143"/>
      <c r="J563" s="143"/>
      <c r="K563" s="143"/>
      <c r="L563" s="140" t="s">
        <v>695</v>
      </c>
      <c r="M563" s="141"/>
      <c r="N563" s="140" t="s">
        <v>603</v>
      </c>
      <c r="O563" s="142"/>
      <c r="P563" s="142"/>
      <c r="Q563" s="141"/>
      <c r="R563" s="189">
        <f>R558/R560</f>
        <v>46.82744088035589</v>
      </c>
      <c r="S563" s="189"/>
      <c r="T563" s="63"/>
      <c r="V563" s="83"/>
      <c r="W563" s="83"/>
      <c r="X563" s="84"/>
      <c r="Y563" s="83"/>
    </row>
    <row r="564" spans="1:25" ht="18" customHeight="1">
      <c r="A564" s="39"/>
      <c r="B564" s="30"/>
      <c r="C564" s="30"/>
      <c r="D564" s="321" t="s">
        <v>697</v>
      </c>
      <c r="E564" s="321"/>
      <c r="F564" s="321"/>
      <c r="G564" s="321"/>
      <c r="H564" s="321"/>
      <c r="I564" s="321"/>
      <c r="J564" s="321"/>
      <c r="K564" s="321"/>
      <c r="L564" s="144"/>
      <c r="M564" s="144"/>
      <c r="N564" s="144"/>
      <c r="O564" s="144"/>
      <c r="P564" s="144"/>
      <c r="Q564" s="144"/>
      <c r="R564" s="144"/>
      <c r="S564" s="144"/>
      <c r="T564" s="63"/>
      <c r="V564" s="83"/>
      <c r="W564" s="83"/>
      <c r="X564" s="84"/>
      <c r="Y564" s="83"/>
    </row>
    <row r="565" spans="1:25" ht="37.5" customHeight="1">
      <c r="A565" s="39"/>
      <c r="B565" s="30"/>
      <c r="C565" s="30"/>
      <c r="D565" s="184" t="s">
        <v>238</v>
      </c>
      <c r="E565" s="185"/>
      <c r="F565" s="185"/>
      <c r="G565" s="185"/>
      <c r="H565" s="185"/>
      <c r="I565" s="185"/>
      <c r="J565" s="185"/>
      <c r="K565" s="186"/>
      <c r="L565" s="140" t="s">
        <v>696</v>
      </c>
      <c r="M565" s="141"/>
      <c r="N565" s="140" t="s">
        <v>603</v>
      </c>
      <c r="O565" s="142"/>
      <c r="P565" s="142"/>
      <c r="Q565" s="141"/>
      <c r="R565" s="177">
        <v>100</v>
      </c>
      <c r="S565" s="177"/>
      <c r="T565" s="63"/>
      <c r="V565" s="83"/>
      <c r="W565" s="83"/>
      <c r="X565" s="84"/>
      <c r="Y565" s="83"/>
    </row>
    <row r="566" spans="1:25" ht="8.25" customHeight="1">
      <c r="A566" s="39"/>
      <c r="B566" s="39"/>
      <c r="C566" s="39"/>
      <c r="D566" s="66"/>
      <c r="E566" s="66"/>
      <c r="F566" s="66"/>
      <c r="G566" s="66"/>
      <c r="H566" s="66"/>
      <c r="I566" s="66"/>
      <c r="J566" s="66"/>
      <c r="K566" s="66"/>
      <c r="L566" s="56"/>
      <c r="M566" s="56"/>
      <c r="N566" s="56"/>
      <c r="O566" s="56"/>
      <c r="P566" s="56"/>
      <c r="Q566" s="56"/>
      <c r="R566" s="56"/>
      <c r="S566" s="56"/>
      <c r="T566" s="63"/>
      <c r="V566" s="83"/>
      <c r="W566" s="83"/>
      <c r="X566" s="84"/>
      <c r="Y566" s="83"/>
    </row>
    <row r="567" spans="1:25" ht="34.5" customHeight="1">
      <c r="A567" s="39"/>
      <c r="B567" s="30" t="s">
        <v>683</v>
      </c>
      <c r="C567" s="30" t="s">
        <v>721</v>
      </c>
      <c r="D567" s="144" t="s">
        <v>225</v>
      </c>
      <c r="E567" s="144"/>
      <c r="F567" s="144"/>
      <c r="G567" s="144"/>
      <c r="H567" s="144"/>
      <c r="I567" s="144"/>
      <c r="J567" s="144"/>
      <c r="K567" s="144"/>
      <c r="L567" s="140" t="s">
        <v>715</v>
      </c>
      <c r="M567" s="141"/>
      <c r="N567" s="144" t="s">
        <v>687</v>
      </c>
      <c r="O567" s="144"/>
      <c r="P567" s="144"/>
      <c r="Q567" s="144"/>
      <c r="R567" s="144" t="s">
        <v>733</v>
      </c>
      <c r="S567" s="187"/>
      <c r="T567" s="63"/>
      <c r="V567" s="83"/>
      <c r="W567" s="83"/>
      <c r="X567" s="84"/>
      <c r="Y567" s="83"/>
    </row>
    <row r="568" spans="1:25" ht="16.5" customHeight="1">
      <c r="A568" s="39"/>
      <c r="B568" s="30">
        <v>1</v>
      </c>
      <c r="C568" s="30">
        <v>2</v>
      </c>
      <c r="D568" s="205">
        <v>3</v>
      </c>
      <c r="E568" s="206"/>
      <c r="F568" s="206"/>
      <c r="G568" s="206"/>
      <c r="H568" s="206"/>
      <c r="I568" s="206"/>
      <c r="J568" s="206"/>
      <c r="K568" s="207"/>
      <c r="L568" s="140">
        <v>4</v>
      </c>
      <c r="M568" s="141"/>
      <c r="N568" s="144">
        <v>5</v>
      </c>
      <c r="O568" s="144"/>
      <c r="P568" s="144"/>
      <c r="Q568" s="144"/>
      <c r="R568" s="144">
        <v>6</v>
      </c>
      <c r="S568" s="187"/>
      <c r="T568" s="63"/>
      <c r="V568" s="83"/>
      <c r="W568" s="83"/>
      <c r="X568" s="84"/>
      <c r="Y568" s="83"/>
    </row>
    <row r="569" spans="1:25" ht="18.75" customHeight="1">
      <c r="A569" s="39"/>
      <c r="B569" s="32">
        <v>1</v>
      </c>
      <c r="C569" s="32">
        <v>4016060</v>
      </c>
      <c r="D569" s="178" t="s">
        <v>717</v>
      </c>
      <c r="E569" s="179"/>
      <c r="F569" s="179"/>
      <c r="G569" s="179"/>
      <c r="H569" s="179"/>
      <c r="I569" s="179"/>
      <c r="J569" s="179"/>
      <c r="K569" s="179"/>
      <c r="L569" s="179"/>
      <c r="M569" s="179"/>
      <c r="N569" s="179"/>
      <c r="O569" s="179"/>
      <c r="P569" s="179"/>
      <c r="Q569" s="179"/>
      <c r="R569" s="179"/>
      <c r="S569" s="180"/>
      <c r="T569" s="63"/>
      <c r="V569" s="83"/>
      <c r="W569" s="83"/>
      <c r="X569" s="84"/>
      <c r="Y569" s="83"/>
    </row>
    <row r="570" spans="1:25" ht="23.25" customHeight="1">
      <c r="A570" s="39"/>
      <c r="B570" s="32"/>
      <c r="C570" s="32"/>
      <c r="D570" s="178" t="s">
        <v>662</v>
      </c>
      <c r="E570" s="179"/>
      <c r="F570" s="179"/>
      <c r="G570" s="179"/>
      <c r="H570" s="179"/>
      <c r="I570" s="179"/>
      <c r="J570" s="179"/>
      <c r="K570" s="179"/>
      <c r="L570" s="179"/>
      <c r="M570" s="179"/>
      <c r="N570" s="179"/>
      <c r="O570" s="179"/>
      <c r="P570" s="179"/>
      <c r="Q570" s="179"/>
      <c r="R570" s="179"/>
      <c r="S570" s="180"/>
      <c r="T570" s="63"/>
      <c r="V570" s="83"/>
      <c r="W570" s="83"/>
      <c r="X570" s="84"/>
      <c r="Y570" s="83"/>
    </row>
    <row r="571" spans="1:25" ht="21" customHeight="1">
      <c r="A571" s="39"/>
      <c r="B571" s="33"/>
      <c r="C571" s="41"/>
      <c r="D571" s="181" t="s">
        <v>688</v>
      </c>
      <c r="E571" s="182"/>
      <c r="F571" s="182"/>
      <c r="G571" s="182"/>
      <c r="H571" s="182"/>
      <c r="I571" s="182"/>
      <c r="J571" s="182"/>
      <c r="K571" s="183"/>
      <c r="L571" s="140"/>
      <c r="M571" s="141"/>
      <c r="N571" s="144"/>
      <c r="O571" s="144"/>
      <c r="P571" s="144"/>
      <c r="Q571" s="144"/>
      <c r="R571" s="144"/>
      <c r="S571" s="472"/>
      <c r="T571" s="63"/>
      <c r="V571" s="83"/>
      <c r="W571" s="83"/>
      <c r="X571" s="84"/>
      <c r="Y571" s="83"/>
    </row>
    <row r="572" spans="1:25" ht="20.25" customHeight="1">
      <c r="A572" s="39"/>
      <c r="B572" s="30"/>
      <c r="C572" s="30"/>
      <c r="D572" s="161" t="s">
        <v>288</v>
      </c>
      <c r="E572" s="162"/>
      <c r="F572" s="162"/>
      <c r="G572" s="162"/>
      <c r="H572" s="162"/>
      <c r="I572" s="162"/>
      <c r="J572" s="162"/>
      <c r="K572" s="163"/>
      <c r="L572" s="140" t="s">
        <v>690</v>
      </c>
      <c r="M572" s="141"/>
      <c r="N572" s="170" t="s">
        <v>568</v>
      </c>
      <c r="O572" s="170"/>
      <c r="P572" s="170"/>
      <c r="Q572" s="170"/>
      <c r="R572" s="497">
        <f>O62</f>
        <v>4766.8</v>
      </c>
      <c r="S572" s="498"/>
      <c r="T572" s="63"/>
      <c r="V572" s="83"/>
      <c r="W572" s="83"/>
      <c r="X572" s="84"/>
      <c r="Y572" s="83"/>
    </row>
    <row r="573" spans="1:25" ht="21" customHeight="1">
      <c r="A573" s="39"/>
      <c r="B573" s="30"/>
      <c r="C573" s="30"/>
      <c r="D573" s="181" t="s">
        <v>693</v>
      </c>
      <c r="E573" s="182"/>
      <c r="F573" s="182"/>
      <c r="G573" s="182"/>
      <c r="H573" s="182"/>
      <c r="I573" s="182"/>
      <c r="J573" s="182"/>
      <c r="K573" s="182"/>
      <c r="L573" s="140"/>
      <c r="M573" s="141"/>
      <c r="N573" s="144"/>
      <c r="O573" s="144"/>
      <c r="P573" s="144"/>
      <c r="Q573" s="144"/>
      <c r="R573" s="144"/>
      <c r="S573" s="144"/>
      <c r="T573" s="63"/>
      <c r="V573" s="83"/>
      <c r="W573" s="83"/>
      <c r="X573" s="84"/>
      <c r="Y573" s="83"/>
    </row>
    <row r="574" spans="1:25" ht="35.25" customHeight="1">
      <c r="A574" s="39"/>
      <c r="B574" s="30"/>
      <c r="C574" s="30"/>
      <c r="D574" s="161" t="s">
        <v>575</v>
      </c>
      <c r="E574" s="162"/>
      <c r="F574" s="162"/>
      <c r="G574" s="162"/>
      <c r="H574" s="162"/>
      <c r="I574" s="162"/>
      <c r="J574" s="162"/>
      <c r="K574" s="163"/>
      <c r="L574" s="140" t="s">
        <v>668</v>
      </c>
      <c r="M574" s="141"/>
      <c r="N574" s="282" t="s">
        <v>209</v>
      </c>
      <c r="O574" s="282"/>
      <c r="P574" s="282"/>
      <c r="Q574" s="282"/>
      <c r="R574" s="327">
        <f>12.26+0.015+0.043+0.01605+3.2</f>
        <v>15.53405</v>
      </c>
      <c r="S574" s="327"/>
      <c r="T574" s="63"/>
      <c r="V574" s="83"/>
      <c r="W574" s="83"/>
      <c r="X574" s="84"/>
      <c r="Y574" s="83"/>
    </row>
    <row r="575" spans="1:25" ht="38.25" customHeight="1">
      <c r="A575" s="39"/>
      <c r="B575" s="30"/>
      <c r="C575" s="30"/>
      <c r="D575" s="161" t="s">
        <v>577</v>
      </c>
      <c r="E575" s="162"/>
      <c r="F575" s="162"/>
      <c r="G575" s="162"/>
      <c r="H575" s="162"/>
      <c r="I575" s="162"/>
      <c r="J575" s="162"/>
      <c r="K575" s="163"/>
      <c r="L575" s="140" t="s">
        <v>668</v>
      </c>
      <c r="M575" s="141"/>
      <c r="N575" s="144" t="s">
        <v>691</v>
      </c>
      <c r="O575" s="144"/>
      <c r="P575" s="144"/>
      <c r="Q575" s="144"/>
      <c r="R575" s="495">
        <f>12.26+0.015+0.043+0.01605+3.2</f>
        <v>15.53405</v>
      </c>
      <c r="S575" s="496"/>
      <c r="T575" s="63"/>
      <c r="V575" s="83"/>
      <c r="W575" s="83"/>
      <c r="X575" s="84"/>
      <c r="Y575" s="83"/>
    </row>
    <row r="576" spans="1:25" ht="20.25" customHeight="1">
      <c r="A576" s="39"/>
      <c r="B576" s="30"/>
      <c r="C576" s="30"/>
      <c r="D576" s="181" t="s">
        <v>694</v>
      </c>
      <c r="E576" s="182"/>
      <c r="F576" s="182"/>
      <c r="G576" s="182"/>
      <c r="H576" s="182"/>
      <c r="I576" s="182"/>
      <c r="J576" s="182"/>
      <c r="K576" s="182"/>
      <c r="L576" s="140"/>
      <c r="M576" s="141"/>
      <c r="N576" s="144"/>
      <c r="O576" s="144"/>
      <c r="P576" s="144"/>
      <c r="Q576" s="144"/>
      <c r="R576" s="189"/>
      <c r="S576" s="189"/>
      <c r="T576" s="63"/>
      <c r="V576" s="83"/>
      <c r="W576" s="83"/>
      <c r="X576" s="84"/>
      <c r="Y576" s="83"/>
    </row>
    <row r="577" spans="1:25" ht="21" customHeight="1">
      <c r="A577" s="39"/>
      <c r="B577" s="30"/>
      <c r="C577" s="30"/>
      <c r="D577" s="166" t="s">
        <v>576</v>
      </c>
      <c r="E577" s="167"/>
      <c r="F577" s="167"/>
      <c r="G577" s="167"/>
      <c r="H577" s="167"/>
      <c r="I577" s="167"/>
      <c r="J577" s="167"/>
      <c r="K577" s="168"/>
      <c r="L577" s="140" t="s">
        <v>690</v>
      </c>
      <c r="M577" s="141"/>
      <c r="N577" s="140" t="s">
        <v>603</v>
      </c>
      <c r="O577" s="142"/>
      <c r="P577" s="142"/>
      <c r="Q577" s="141"/>
      <c r="R577" s="133">
        <f>R572/R575/1000</f>
        <v>0.30686137871321384</v>
      </c>
      <c r="S577" s="134"/>
      <c r="T577" s="63"/>
      <c r="V577" s="83"/>
      <c r="W577" s="83"/>
      <c r="X577" s="84"/>
      <c r="Y577" s="83"/>
    </row>
    <row r="578" spans="1:25" ht="21.75" customHeight="1">
      <c r="A578" s="39"/>
      <c r="B578" s="30"/>
      <c r="C578" s="30"/>
      <c r="D578" s="181" t="s">
        <v>697</v>
      </c>
      <c r="E578" s="182"/>
      <c r="F578" s="182"/>
      <c r="G578" s="182"/>
      <c r="H578" s="182"/>
      <c r="I578" s="182"/>
      <c r="J578" s="182"/>
      <c r="K578" s="182"/>
      <c r="L578" s="140"/>
      <c r="M578" s="141"/>
      <c r="N578" s="144"/>
      <c r="O578" s="144"/>
      <c r="P578" s="144"/>
      <c r="Q578" s="144"/>
      <c r="R578" s="144"/>
      <c r="S578" s="144"/>
      <c r="T578" s="63"/>
      <c r="V578" s="83"/>
      <c r="W578" s="83"/>
      <c r="X578" s="84"/>
      <c r="Y578" s="83"/>
    </row>
    <row r="579" spans="1:25" ht="37.5" customHeight="1">
      <c r="A579" s="39"/>
      <c r="B579" s="30"/>
      <c r="C579" s="30"/>
      <c r="D579" s="143" t="s">
        <v>240</v>
      </c>
      <c r="E579" s="143"/>
      <c r="F579" s="143"/>
      <c r="G579" s="143"/>
      <c r="H579" s="143"/>
      <c r="I579" s="143"/>
      <c r="J579" s="143"/>
      <c r="K579" s="143"/>
      <c r="L579" s="144" t="s">
        <v>696</v>
      </c>
      <c r="M579" s="144"/>
      <c r="N579" s="140" t="s">
        <v>603</v>
      </c>
      <c r="O579" s="142"/>
      <c r="P579" s="142"/>
      <c r="Q579" s="141"/>
      <c r="R579" s="189">
        <f>R575/R574*100</f>
        <v>100</v>
      </c>
      <c r="S579" s="189"/>
      <c r="T579" s="63"/>
      <c r="V579" s="83"/>
      <c r="W579" s="83"/>
      <c r="X579" s="84"/>
      <c r="Y579" s="83"/>
    </row>
    <row r="580" spans="1:25" ht="9.75" customHeight="1">
      <c r="A580" s="39"/>
      <c r="B580" s="39"/>
      <c r="C580" s="39"/>
      <c r="D580" s="66"/>
      <c r="E580" s="66"/>
      <c r="F580" s="66"/>
      <c r="G580" s="66"/>
      <c r="H580" s="66"/>
      <c r="I580" s="66"/>
      <c r="J580" s="66"/>
      <c r="K580" s="66"/>
      <c r="L580" s="56"/>
      <c r="M580" s="56"/>
      <c r="N580" s="56"/>
      <c r="O580" s="56"/>
      <c r="P580" s="56"/>
      <c r="Q580" s="56"/>
      <c r="R580" s="56"/>
      <c r="S580" s="56"/>
      <c r="T580" s="63"/>
      <c r="V580" s="83"/>
      <c r="W580" s="83"/>
      <c r="X580" s="84"/>
      <c r="Y580" s="83"/>
    </row>
    <row r="581" spans="1:25" ht="36.75" customHeight="1">
      <c r="A581" s="39"/>
      <c r="B581" s="30" t="s">
        <v>683</v>
      </c>
      <c r="C581" s="30" t="s">
        <v>721</v>
      </c>
      <c r="D581" s="144" t="s">
        <v>225</v>
      </c>
      <c r="E581" s="144"/>
      <c r="F581" s="144"/>
      <c r="G581" s="144"/>
      <c r="H581" s="144"/>
      <c r="I581" s="144"/>
      <c r="J581" s="144"/>
      <c r="K581" s="144"/>
      <c r="L581" s="140" t="s">
        <v>715</v>
      </c>
      <c r="M581" s="141"/>
      <c r="N581" s="144" t="s">
        <v>687</v>
      </c>
      <c r="O581" s="144"/>
      <c r="P581" s="144"/>
      <c r="Q581" s="144"/>
      <c r="R581" s="144" t="s">
        <v>733</v>
      </c>
      <c r="S581" s="187"/>
      <c r="T581" s="63"/>
      <c r="V581" s="83"/>
      <c r="W581" s="83"/>
      <c r="X581" s="84"/>
      <c r="Y581" s="83"/>
    </row>
    <row r="582" spans="1:25" ht="18" customHeight="1">
      <c r="A582" s="39"/>
      <c r="B582" s="30">
        <v>1</v>
      </c>
      <c r="C582" s="30">
        <v>2</v>
      </c>
      <c r="D582" s="205">
        <v>3</v>
      </c>
      <c r="E582" s="206"/>
      <c r="F582" s="206"/>
      <c r="G582" s="206"/>
      <c r="H582" s="206"/>
      <c r="I582" s="206"/>
      <c r="J582" s="206"/>
      <c r="K582" s="207"/>
      <c r="L582" s="140">
        <v>4</v>
      </c>
      <c r="M582" s="141"/>
      <c r="N582" s="144">
        <v>5</v>
      </c>
      <c r="O582" s="144"/>
      <c r="P582" s="144"/>
      <c r="Q582" s="144"/>
      <c r="R582" s="144">
        <v>6</v>
      </c>
      <c r="S582" s="187"/>
      <c r="T582" s="63"/>
      <c r="V582" s="83"/>
      <c r="W582" s="83"/>
      <c r="X582" s="84"/>
      <c r="Y582" s="83"/>
    </row>
    <row r="583" spans="1:25" ht="23.25" customHeight="1">
      <c r="A583" s="39"/>
      <c r="B583" s="32">
        <v>1</v>
      </c>
      <c r="C583" s="32">
        <v>4016060</v>
      </c>
      <c r="D583" s="178" t="s">
        <v>717</v>
      </c>
      <c r="E583" s="179"/>
      <c r="F583" s="179"/>
      <c r="G583" s="179"/>
      <c r="H583" s="179"/>
      <c r="I583" s="179"/>
      <c r="J583" s="179"/>
      <c r="K583" s="179"/>
      <c r="L583" s="179"/>
      <c r="M583" s="179"/>
      <c r="N583" s="179"/>
      <c r="O583" s="179"/>
      <c r="P583" s="179"/>
      <c r="Q583" s="179"/>
      <c r="R583" s="179"/>
      <c r="S583" s="180"/>
      <c r="T583" s="63"/>
      <c r="V583" s="83"/>
      <c r="W583" s="83"/>
      <c r="X583" s="84"/>
      <c r="Y583" s="83"/>
    </row>
    <row r="584" spans="1:25" ht="21" customHeight="1">
      <c r="A584" s="39"/>
      <c r="B584" s="32"/>
      <c r="C584" s="32"/>
      <c r="D584" s="178" t="s">
        <v>249</v>
      </c>
      <c r="E584" s="179"/>
      <c r="F584" s="179"/>
      <c r="G584" s="179"/>
      <c r="H584" s="179"/>
      <c r="I584" s="179"/>
      <c r="J584" s="179"/>
      <c r="K584" s="179"/>
      <c r="L584" s="179"/>
      <c r="M584" s="179"/>
      <c r="N584" s="179"/>
      <c r="O584" s="179"/>
      <c r="P584" s="179"/>
      <c r="Q584" s="179"/>
      <c r="R584" s="179"/>
      <c r="S584" s="180"/>
      <c r="T584" s="63"/>
      <c r="V584" s="83"/>
      <c r="W584" s="83"/>
      <c r="X584" s="84"/>
      <c r="Y584" s="83"/>
    </row>
    <row r="585" spans="1:25" ht="18" customHeight="1">
      <c r="A585" s="39"/>
      <c r="B585" s="33"/>
      <c r="C585" s="41"/>
      <c r="D585" s="181" t="s">
        <v>688</v>
      </c>
      <c r="E585" s="182"/>
      <c r="F585" s="182"/>
      <c r="G585" s="182"/>
      <c r="H585" s="182"/>
      <c r="I585" s="182"/>
      <c r="J585" s="182"/>
      <c r="K585" s="183"/>
      <c r="L585" s="140"/>
      <c r="M585" s="141"/>
      <c r="N585" s="144"/>
      <c r="O585" s="144"/>
      <c r="P585" s="144"/>
      <c r="Q585" s="144"/>
      <c r="R585" s="144"/>
      <c r="S585" s="187"/>
      <c r="T585" s="63"/>
      <c r="V585" s="83"/>
      <c r="W585" s="83"/>
      <c r="X585" s="84"/>
      <c r="Y585" s="83"/>
    </row>
    <row r="586" spans="1:25" ht="18" customHeight="1">
      <c r="A586" s="39"/>
      <c r="B586" s="30"/>
      <c r="C586" s="30"/>
      <c r="D586" s="161" t="s">
        <v>160</v>
      </c>
      <c r="E586" s="162"/>
      <c r="F586" s="162"/>
      <c r="G586" s="162"/>
      <c r="H586" s="162"/>
      <c r="I586" s="162"/>
      <c r="J586" s="162"/>
      <c r="K586" s="163"/>
      <c r="L586" s="140" t="s">
        <v>690</v>
      </c>
      <c r="M586" s="141"/>
      <c r="N586" s="170" t="s">
        <v>568</v>
      </c>
      <c r="O586" s="170"/>
      <c r="P586" s="170"/>
      <c r="Q586" s="170"/>
      <c r="R586" s="392">
        <f>900-93.616-563.491-40</f>
        <v>202.89300000000003</v>
      </c>
      <c r="S586" s="393"/>
      <c r="T586" s="63"/>
      <c r="V586" s="83"/>
      <c r="W586" s="83"/>
      <c r="X586" s="84"/>
      <c r="Y586" s="83"/>
    </row>
    <row r="587" spans="1:25" ht="18" customHeight="1">
      <c r="A587" s="39"/>
      <c r="B587" s="30"/>
      <c r="C587" s="30"/>
      <c r="D587" s="181" t="s">
        <v>693</v>
      </c>
      <c r="E587" s="182"/>
      <c r="F587" s="182"/>
      <c r="G587" s="182"/>
      <c r="H587" s="182"/>
      <c r="I587" s="182"/>
      <c r="J587" s="182"/>
      <c r="K587" s="182"/>
      <c r="L587" s="140"/>
      <c r="M587" s="141"/>
      <c r="N587" s="170"/>
      <c r="O587" s="170"/>
      <c r="P587" s="170"/>
      <c r="Q587" s="170"/>
      <c r="R587" s="144"/>
      <c r="S587" s="144"/>
      <c r="T587" s="63"/>
      <c r="V587" s="83"/>
      <c r="W587" s="83"/>
      <c r="X587" s="84"/>
      <c r="Y587" s="83"/>
    </row>
    <row r="588" spans="1:25" ht="20.25" customHeight="1">
      <c r="A588" s="39"/>
      <c r="B588" s="30"/>
      <c r="C588" s="30"/>
      <c r="D588" s="161" t="s">
        <v>159</v>
      </c>
      <c r="E588" s="162"/>
      <c r="F588" s="162"/>
      <c r="G588" s="162"/>
      <c r="H588" s="162"/>
      <c r="I588" s="162"/>
      <c r="J588" s="162"/>
      <c r="K588" s="163"/>
      <c r="L588" s="140" t="s">
        <v>668</v>
      </c>
      <c r="M588" s="141"/>
      <c r="N588" s="170" t="s">
        <v>358</v>
      </c>
      <c r="O588" s="170"/>
      <c r="P588" s="170"/>
      <c r="Q588" s="170"/>
      <c r="R588" s="494">
        <f>(2525+21294+42980+24450+1850)/1000</f>
        <v>93.099</v>
      </c>
      <c r="S588" s="494"/>
      <c r="T588" s="63"/>
      <c r="V588" s="83"/>
      <c r="W588" s="83"/>
      <c r="X588" s="84"/>
      <c r="Y588" s="83"/>
    </row>
    <row r="589" spans="1:25" ht="18" customHeight="1">
      <c r="A589" s="39"/>
      <c r="B589" s="30"/>
      <c r="C589" s="30"/>
      <c r="D589" s="161" t="s">
        <v>161</v>
      </c>
      <c r="E589" s="162"/>
      <c r="F589" s="162"/>
      <c r="G589" s="162"/>
      <c r="H589" s="162"/>
      <c r="I589" s="162"/>
      <c r="J589" s="162"/>
      <c r="K589" s="163"/>
      <c r="L589" s="140" t="s">
        <v>668</v>
      </c>
      <c r="M589" s="141"/>
      <c r="N589" s="170" t="s">
        <v>358</v>
      </c>
      <c r="O589" s="170"/>
      <c r="P589" s="170"/>
      <c r="Q589" s="170"/>
      <c r="R589" s="494">
        <f>(2525+21294+42980+24450+1850)/1000</f>
        <v>93.099</v>
      </c>
      <c r="S589" s="494"/>
      <c r="T589" s="63"/>
      <c r="V589" s="83"/>
      <c r="W589" s="83"/>
      <c r="X589" s="84"/>
      <c r="Y589" s="83"/>
    </row>
    <row r="590" spans="1:25" ht="18" customHeight="1">
      <c r="A590" s="39"/>
      <c r="B590" s="30"/>
      <c r="C590" s="30"/>
      <c r="D590" s="181" t="s">
        <v>694</v>
      </c>
      <c r="E590" s="182"/>
      <c r="F590" s="182"/>
      <c r="G590" s="182"/>
      <c r="H590" s="182"/>
      <c r="I590" s="182"/>
      <c r="J590" s="182"/>
      <c r="K590" s="182"/>
      <c r="L590" s="140"/>
      <c r="M590" s="141"/>
      <c r="N590" s="144"/>
      <c r="O590" s="144"/>
      <c r="P590" s="144"/>
      <c r="Q590" s="144"/>
      <c r="R590" s="189"/>
      <c r="S590" s="189"/>
      <c r="T590" s="63"/>
      <c r="V590" s="83"/>
      <c r="W590" s="83"/>
      <c r="X590" s="84"/>
      <c r="Y590" s="83"/>
    </row>
    <row r="591" spans="1:25" ht="18" customHeight="1">
      <c r="A591" s="39"/>
      <c r="B591" s="30"/>
      <c r="C591" s="30"/>
      <c r="D591" s="166" t="s">
        <v>162</v>
      </c>
      <c r="E591" s="167"/>
      <c r="F591" s="167"/>
      <c r="G591" s="167"/>
      <c r="H591" s="167"/>
      <c r="I591" s="167"/>
      <c r="J591" s="167"/>
      <c r="K591" s="168"/>
      <c r="L591" s="140" t="s">
        <v>695</v>
      </c>
      <c r="M591" s="141"/>
      <c r="N591" s="140" t="s">
        <v>603</v>
      </c>
      <c r="O591" s="142"/>
      <c r="P591" s="142"/>
      <c r="Q591" s="141"/>
      <c r="R591" s="133">
        <f>R586/R589</f>
        <v>2.1793252344278673</v>
      </c>
      <c r="S591" s="134"/>
      <c r="T591" s="63"/>
      <c r="V591" s="83"/>
      <c r="W591" s="83"/>
      <c r="X591" s="84"/>
      <c r="Y591" s="83"/>
    </row>
    <row r="592" spans="1:25" ht="18" customHeight="1">
      <c r="A592" s="39"/>
      <c r="B592" s="30"/>
      <c r="C592" s="30"/>
      <c r="D592" s="181" t="s">
        <v>697</v>
      </c>
      <c r="E592" s="182"/>
      <c r="F592" s="182"/>
      <c r="G592" s="182"/>
      <c r="H592" s="182"/>
      <c r="I592" s="182"/>
      <c r="J592" s="182"/>
      <c r="K592" s="182"/>
      <c r="L592" s="140"/>
      <c r="M592" s="141"/>
      <c r="N592" s="144"/>
      <c r="O592" s="144"/>
      <c r="P592" s="144"/>
      <c r="Q592" s="144"/>
      <c r="R592" s="144"/>
      <c r="S592" s="144"/>
      <c r="T592" s="63"/>
      <c r="V592" s="83"/>
      <c r="W592" s="83"/>
      <c r="X592" s="84"/>
      <c r="Y592" s="83"/>
    </row>
    <row r="593" spans="1:25" ht="36.75" customHeight="1">
      <c r="A593" s="39"/>
      <c r="B593" s="30"/>
      <c r="C593" s="30"/>
      <c r="D593" s="143" t="s">
        <v>163</v>
      </c>
      <c r="E593" s="143"/>
      <c r="F593" s="143"/>
      <c r="G593" s="143"/>
      <c r="H593" s="143"/>
      <c r="I593" s="143"/>
      <c r="J593" s="143"/>
      <c r="K593" s="143"/>
      <c r="L593" s="144" t="s">
        <v>696</v>
      </c>
      <c r="M593" s="144"/>
      <c r="N593" s="140" t="s">
        <v>603</v>
      </c>
      <c r="O593" s="142"/>
      <c r="P593" s="142"/>
      <c r="Q593" s="141"/>
      <c r="R593" s="189">
        <f>R589/R588*100</f>
        <v>100</v>
      </c>
      <c r="S593" s="189"/>
      <c r="T593" s="63"/>
      <c r="V593" s="83"/>
      <c r="W593" s="83"/>
      <c r="X593" s="84"/>
      <c r="Y593" s="83"/>
    </row>
    <row r="594" spans="1:25" ht="9.75" customHeight="1">
      <c r="A594" s="39"/>
      <c r="B594" s="39"/>
      <c r="C594" s="39"/>
      <c r="D594" s="66"/>
      <c r="E594" s="66"/>
      <c r="F594" s="66"/>
      <c r="G594" s="66"/>
      <c r="H594" s="66"/>
      <c r="I594" s="66"/>
      <c r="J594" s="66"/>
      <c r="K594" s="66"/>
      <c r="L594" s="56"/>
      <c r="M594" s="56"/>
      <c r="N594" s="56"/>
      <c r="O594" s="56"/>
      <c r="P594" s="56"/>
      <c r="Q594" s="56"/>
      <c r="R594" s="56"/>
      <c r="S594" s="56"/>
      <c r="T594" s="63"/>
      <c r="V594" s="83"/>
      <c r="W594" s="83"/>
      <c r="X594" s="84"/>
      <c r="Y594" s="83"/>
    </row>
    <row r="595" spans="1:25" ht="32.25" customHeight="1">
      <c r="A595" s="39"/>
      <c r="B595" s="30" t="s">
        <v>683</v>
      </c>
      <c r="C595" s="30" t="s">
        <v>721</v>
      </c>
      <c r="D595" s="144" t="s">
        <v>225</v>
      </c>
      <c r="E595" s="144"/>
      <c r="F595" s="144"/>
      <c r="G595" s="144"/>
      <c r="H595" s="144"/>
      <c r="I595" s="144"/>
      <c r="J595" s="144"/>
      <c r="K595" s="144"/>
      <c r="L595" s="140" t="s">
        <v>715</v>
      </c>
      <c r="M595" s="141"/>
      <c r="N595" s="144" t="s">
        <v>687</v>
      </c>
      <c r="O595" s="144"/>
      <c r="P595" s="144"/>
      <c r="Q595" s="144"/>
      <c r="R595" s="144" t="s">
        <v>733</v>
      </c>
      <c r="S595" s="187"/>
      <c r="T595" s="63"/>
      <c r="V595" s="83"/>
      <c r="W595" s="83"/>
      <c r="X595" s="84"/>
      <c r="Y595" s="83"/>
    </row>
    <row r="596" spans="1:25" ht="20.25" customHeight="1">
      <c r="A596" s="39"/>
      <c r="B596" s="30">
        <v>1</v>
      </c>
      <c r="C596" s="30">
        <v>2</v>
      </c>
      <c r="D596" s="205">
        <v>3</v>
      </c>
      <c r="E596" s="206"/>
      <c r="F596" s="206"/>
      <c r="G596" s="206"/>
      <c r="H596" s="206"/>
      <c r="I596" s="206"/>
      <c r="J596" s="206"/>
      <c r="K596" s="207"/>
      <c r="L596" s="140">
        <v>4</v>
      </c>
      <c r="M596" s="141"/>
      <c r="N596" s="144">
        <v>5</v>
      </c>
      <c r="O596" s="144"/>
      <c r="P596" s="144"/>
      <c r="Q596" s="144"/>
      <c r="R596" s="144">
        <v>6</v>
      </c>
      <c r="S596" s="187"/>
      <c r="T596" s="63"/>
      <c r="V596" s="83"/>
      <c r="W596" s="83"/>
      <c r="X596" s="84"/>
      <c r="Y596" s="83"/>
    </row>
    <row r="597" spans="1:25" ht="21" customHeight="1">
      <c r="A597" s="39"/>
      <c r="B597" s="32">
        <v>1</v>
      </c>
      <c r="C597" s="32">
        <v>4016060</v>
      </c>
      <c r="D597" s="178" t="s">
        <v>717</v>
      </c>
      <c r="E597" s="179"/>
      <c r="F597" s="179"/>
      <c r="G597" s="179"/>
      <c r="H597" s="179"/>
      <c r="I597" s="179"/>
      <c r="J597" s="179"/>
      <c r="K597" s="179"/>
      <c r="L597" s="179"/>
      <c r="M597" s="179"/>
      <c r="N597" s="179"/>
      <c r="O597" s="179"/>
      <c r="P597" s="179"/>
      <c r="Q597" s="179"/>
      <c r="R597" s="179"/>
      <c r="S597" s="180"/>
      <c r="T597" s="63"/>
      <c r="V597" s="83"/>
      <c r="W597" s="83"/>
      <c r="X597" s="84"/>
      <c r="Y597" s="83"/>
    </row>
    <row r="598" spans="1:25" ht="22.5" customHeight="1">
      <c r="A598" s="39"/>
      <c r="B598" s="32"/>
      <c r="C598" s="32"/>
      <c r="D598" s="178" t="s">
        <v>164</v>
      </c>
      <c r="E598" s="179"/>
      <c r="F598" s="179"/>
      <c r="G598" s="179"/>
      <c r="H598" s="179"/>
      <c r="I598" s="179"/>
      <c r="J598" s="179"/>
      <c r="K598" s="179"/>
      <c r="L598" s="179"/>
      <c r="M598" s="179"/>
      <c r="N598" s="179"/>
      <c r="O598" s="179"/>
      <c r="P598" s="179"/>
      <c r="Q598" s="179"/>
      <c r="R598" s="179"/>
      <c r="S598" s="180"/>
      <c r="T598" s="63"/>
      <c r="V598" s="83"/>
      <c r="W598" s="83"/>
      <c r="X598" s="84"/>
      <c r="Y598" s="83"/>
    </row>
    <row r="599" spans="1:25" ht="20.25" customHeight="1">
      <c r="A599" s="39"/>
      <c r="B599" s="33"/>
      <c r="C599" s="41"/>
      <c r="D599" s="181" t="s">
        <v>688</v>
      </c>
      <c r="E599" s="182"/>
      <c r="F599" s="182"/>
      <c r="G599" s="182"/>
      <c r="H599" s="182"/>
      <c r="I599" s="182"/>
      <c r="J599" s="182"/>
      <c r="K599" s="183"/>
      <c r="L599" s="140"/>
      <c r="M599" s="141"/>
      <c r="N599" s="144"/>
      <c r="O599" s="144"/>
      <c r="P599" s="144"/>
      <c r="Q599" s="144"/>
      <c r="R599" s="144"/>
      <c r="S599" s="187"/>
      <c r="T599" s="63"/>
      <c r="V599" s="83"/>
      <c r="W599" s="83"/>
      <c r="X599" s="84"/>
      <c r="Y599" s="83"/>
    </row>
    <row r="600" spans="1:25" ht="19.5" customHeight="1">
      <c r="A600" s="39"/>
      <c r="B600" s="33"/>
      <c r="C600" s="41"/>
      <c r="D600" s="161" t="s">
        <v>589</v>
      </c>
      <c r="E600" s="162"/>
      <c r="F600" s="162"/>
      <c r="G600" s="162"/>
      <c r="H600" s="162"/>
      <c r="I600" s="162"/>
      <c r="J600" s="162"/>
      <c r="K600" s="163"/>
      <c r="L600" s="140" t="s">
        <v>690</v>
      </c>
      <c r="M600" s="141"/>
      <c r="N600" s="170" t="s">
        <v>568</v>
      </c>
      <c r="O600" s="170"/>
      <c r="P600" s="170"/>
      <c r="Q600" s="170"/>
      <c r="R600" s="221">
        <f>SUM(R601:S609)</f>
        <v>3282.41395</v>
      </c>
      <c r="S600" s="222"/>
      <c r="T600" s="63"/>
      <c r="V600" s="83"/>
      <c r="W600" s="83"/>
      <c r="X600" s="84"/>
      <c r="Y600" s="83"/>
    </row>
    <row r="601" spans="1:25" ht="50.25" customHeight="1">
      <c r="A601" s="39"/>
      <c r="B601" s="33"/>
      <c r="C601" s="41"/>
      <c r="D601" s="161" t="s">
        <v>130</v>
      </c>
      <c r="E601" s="162"/>
      <c r="F601" s="162"/>
      <c r="G601" s="162"/>
      <c r="H601" s="162"/>
      <c r="I601" s="162"/>
      <c r="J601" s="162"/>
      <c r="K601" s="163"/>
      <c r="L601" s="140" t="s">
        <v>690</v>
      </c>
      <c r="M601" s="141"/>
      <c r="N601" s="144" t="s">
        <v>691</v>
      </c>
      <c r="O601" s="144"/>
      <c r="P601" s="144"/>
      <c r="Q601" s="144"/>
      <c r="R601" s="295">
        <f>1500+700-2040-28-10-7.02-42.481</f>
        <v>72.499</v>
      </c>
      <c r="S601" s="296"/>
      <c r="T601" s="63"/>
      <c r="V601" s="83"/>
      <c r="W601" s="83"/>
      <c r="X601" s="84"/>
      <c r="Y601" s="83"/>
    </row>
    <row r="602" spans="1:25" ht="56.25" customHeight="1">
      <c r="A602" s="39"/>
      <c r="B602" s="33"/>
      <c r="C602" s="41"/>
      <c r="D602" s="184" t="s">
        <v>129</v>
      </c>
      <c r="E602" s="185"/>
      <c r="F602" s="185"/>
      <c r="G602" s="185"/>
      <c r="H602" s="185"/>
      <c r="I602" s="185"/>
      <c r="J602" s="185"/>
      <c r="K602" s="186"/>
      <c r="L602" s="140" t="s">
        <v>690</v>
      </c>
      <c r="M602" s="141"/>
      <c r="N602" s="144" t="s">
        <v>691</v>
      </c>
      <c r="O602" s="144"/>
      <c r="P602" s="144"/>
      <c r="Q602" s="144"/>
      <c r="R602" s="295">
        <v>40</v>
      </c>
      <c r="S602" s="296"/>
      <c r="T602" s="63"/>
      <c r="V602" s="83"/>
      <c r="W602" s="83"/>
      <c r="X602" s="84"/>
      <c r="Y602" s="83"/>
    </row>
    <row r="603" spans="1:25" ht="54" customHeight="1">
      <c r="A603" s="39"/>
      <c r="B603" s="33"/>
      <c r="C603" s="41"/>
      <c r="D603" s="184" t="s">
        <v>187</v>
      </c>
      <c r="E603" s="185"/>
      <c r="F603" s="185"/>
      <c r="G603" s="185"/>
      <c r="H603" s="185"/>
      <c r="I603" s="185"/>
      <c r="J603" s="185"/>
      <c r="K603" s="186"/>
      <c r="L603" s="140" t="s">
        <v>690</v>
      </c>
      <c r="M603" s="141"/>
      <c r="N603" s="144" t="s">
        <v>691</v>
      </c>
      <c r="O603" s="144"/>
      <c r="P603" s="144"/>
      <c r="Q603" s="144"/>
      <c r="R603" s="295">
        <v>1500</v>
      </c>
      <c r="S603" s="296"/>
      <c r="T603" s="63"/>
      <c r="V603" s="83"/>
      <c r="W603" s="83"/>
      <c r="X603" s="84"/>
      <c r="Y603" s="83"/>
    </row>
    <row r="604" spans="1:25" ht="41.25" customHeight="1">
      <c r="A604" s="39"/>
      <c r="B604" s="33"/>
      <c r="C604" s="41"/>
      <c r="D604" s="161" t="s">
        <v>188</v>
      </c>
      <c r="E604" s="162"/>
      <c r="F604" s="162"/>
      <c r="G604" s="162"/>
      <c r="H604" s="162"/>
      <c r="I604" s="162"/>
      <c r="J604" s="162"/>
      <c r="K604" s="163"/>
      <c r="L604" s="140" t="s">
        <v>690</v>
      </c>
      <c r="M604" s="141"/>
      <c r="N604" s="170" t="s">
        <v>568</v>
      </c>
      <c r="O604" s="170"/>
      <c r="P604" s="170"/>
      <c r="Q604" s="170"/>
      <c r="R604" s="322">
        <f>808.317+145.112-56.348</f>
        <v>897.081</v>
      </c>
      <c r="S604" s="323"/>
      <c r="T604" s="63"/>
      <c r="V604" s="83"/>
      <c r="W604" s="83"/>
      <c r="X604" s="84"/>
      <c r="Y604" s="83"/>
    </row>
    <row r="605" spans="1:25" ht="46.5" customHeight="1">
      <c r="A605" s="39"/>
      <c r="B605" s="33"/>
      <c r="C605" s="41"/>
      <c r="D605" s="161" t="s">
        <v>165</v>
      </c>
      <c r="E605" s="162"/>
      <c r="F605" s="162"/>
      <c r="G605" s="162"/>
      <c r="H605" s="162"/>
      <c r="I605" s="162"/>
      <c r="J605" s="162"/>
      <c r="K605" s="163"/>
      <c r="L605" s="140" t="s">
        <v>690</v>
      </c>
      <c r="M605" s="141"/>
      <c r="N605" s="170" t="s">
        <v>568</v>
      </c>
      <c r="O605" s="170"/>
      <c r="P605" s="170"/>
      <c r="Q605" s="170"/>
      <c r="R605" s="378">
        <f>146.341+22.809-38.44105</f>
        <v>130.70895000000002</v>
      </c>
      <c r="S605" s="379"/>
      <c r="T605" s="63"/>
      <c r="V605" s="83"/>
      <c r="W605" s="83"/>
      <c r="X605" s="84"/>
      <c r="Y605" s="83"/>
    </row>
    <row r="606" spans="1:25" ht="60" customHeight="1">
      <c r="A606" s="39"/>
      <c r="B606" s="33"/>
      <c r="C606" s="41"/>
      <c r="D606" s="161" t="s">
        <v>541</v>
      </c>
      <c r="E606" s="162"/>
      <c r="F606" s="162"/>
      <c r="G606" s="162"/>
      <c r="H606" s="162"/>
      <c r="I606" s="162"/>
      <c r="J606" s="162"/>
      <c r="K606" s="163"/>
      <c r="L606" s="140" t="s">
        <v>690</v>
      </c>
      <c r="M606" s="141"/>
      <c r="N606" s="170" t="s">
        <v>252</v>
      </c>
      <c r="O606" s="170"/>
      <c r="P606" s="170"/>
      <c r="Q606" s="170"/>
      <c r="R606" s="295">
        <f>28+500</f>
        <v>528</v>
      </c>
      <c r="S606" s="296"/>
      <c r="T606" s="107" t="s">
        <v>692</v>
      </c>
      <c r="V606" s="83"/>
      <c r="W606" s="83"/>
      <c r="X606" s="84"/>
      <c r="Y606" s="83"/>
    </row>
    <row r="607" spans="1:25" ht="44.25" customHeight="1">
      <c r="A607" s="39"/>
      <c r="B607" s="33"/>
      <c r="C607" s="41"/>
      <c r="D607" s="161" t="s">
        <v>250</v>
      </c>
      <c r="E607" s="162"/>
      <c r="F607" s="162"/>
      <c r="G607" s="162"/>
      <c r="H607" s="162"/>
      <c r="I607" s="162"/>
      <c r="J607" s="162"/>
      <c r="K607" s="163"/>
      <c r="L607" s="140" t="s">
        <v>690</v>
      </c>
      <c r="M607" s="141"/>
      <c r="N607" s="170" t="s">
        <v>252</v>
      </c>
      <c r="O607" s="170"/>
      <c r="P607" s="170"/>
      <c r="Q607" s="170"/>
      <c r="R607" s="295">
        <v>7.02</v>
      </c>
      <c r="S607" s="296"/>
      <c r="T607" s="107" t="s">
        <v>692</v>
      </c>
      <c r="V607" s="83"/>
      <c r="W607" s="83"/>
      <c r="X607" s="84"/>
      <c r="Y607" s="83"/>
    </row>
    <row r="608" spans="1:25" ht="54" customHeight="1">
      <c r="A608" s="39"/>
      <c r="B608" s="33"/>
      <c r="C608" s="41"/>
      <c r="D608" s="161" t="s">
        <v>84</v>
      </c>
      <c r="E608" s="162"/>
      <c r="F608" s="162"/>
      <c r="G608" s="162"/>
      <c r="H608" s="162"/>
      <c r="I608" s="162"/>
      <c r="J608" s="162"/>
      <c r="K608" s="163"/>
      <c r="L608" s="140" t="s">
        <v>690</v>
      </c>
      <c r="M608" s="141"/>
      <c r="N608" s="274" t="s">
        <v>545</v>
      </c>
      <c r="O608" s="275"/>
      <c r="P608" s="275"/>
      <c r="Q608" s="276"/>
      <c r="R608" s="221">
        <v>7.605</v>
      </c>
      <c r="S608" s="222"/>
      <c r="T608" s="107"/>
      <c r="V608" s="83"/>
      <c r="W608" s="83"/>
      <c r="X608" s="84"/>
      <c r="Y608" s="83"/>
    </row>
    <row r="609" spans="1:25" ht="25.5" customHeight="1">
      <c r="A609" s="39"/>
      <c r="B609" s="33"/>
      <c r="C609" s="41"/>
      <c r="D609" s="161" t="s">
        <v>14</v>
      </c>
      <c r="E609" s="162"/>
      <c r="F609" s="162"/>
      <c r="G609" s="162"/>
      <c r="H609" s="162"/>
      <c r="I609" s="162"/>
      <c r="J609" s="162"/>
      <c r="K609" s="163"/>
      <c r="L609" s="140" t="s">
        <v>690</v>
      </c>
      <c r="M609" s="141"/>
      <c r="N609" s="274" t="s">
        <v>7</v>
      </c>
      <c r="O609" s="275"/>
      <c r="P609" s="275"/>
      <c r="Q609" s="276"/>
      <c r="R609" s="295">
        <v>99.5</v>
      </c>
      <c r="S609" s="296"/>
      <c r="T609" s="107"/>
      <c r="V609" s="83"/>
      <c r="W609" s="83"/>
      <c r="X609" s="84"/>
      <c r="Y609" s="83"/>
    </row>
    <row r="610" spans="1:25" ht="18" customHeight="1">
      <c r="A610" s="39"/>
      <c r="B610" s="30"/>
      <c r="C610" s="30"/>
      <c r="D610" s="181" t="s">
        <v>693</v>
      </c>
      <c r="E610" s="182"/>
      <c r="F610" s="182"/>
      <c r="G610" s="182"/>
      <c r="H610" s="182"/>
      <c r="I610" s="182"/>
      <c r="J610" s="182"/>
      <c r="K610" s="182"/>
      <c r="L610" s="140"/>
      <c r="M610" s="141"/>
      <c r="N610" s="144"/>
      <c r="O610" s="144"/>
      <c r="P610" s="144"/>
      <c r="Q610" s="144"/>
      <c r="R610" s="144"/>
      <c r="S610" s="144"/>
      <c r="T610" s="63"/>
      <c r="V610" s="83"/>
      <c r="W610" s="83"/>
      <c r="X610" s="84"/>
      <c r="Y610" s="83"/>
    </row>
    <row r="611" spans="1:25" ht="45" customHeight="1">
      <c r="A611" s="39"/>
      <c r="B611" s="30"/>
      <c r="C611" s="30"/>
      <c r="D611" s="161" t="s">
        <v>789</v>
      </c>
      <c r="E611" s="162"/>
      <c r="F611" s="162"/>
      <c r="G611" s="162"/>
      <c r="H611" s="162"/>
      <c r="I611" s="162"/>
      <c r="J611" s="162"/>
      <c r="K611" s="163"/>
      <c r="L611" s="140" t="s">
        <v>647</v>
      </c>
      <c r="M611" s="141"/>
      <c r="N611" s="144" t="s">
        <v>208</v>
      </c>
      <c r="O611" s="144"/>
      <c r="P611" s="144"/>
      <c r="Q611" s="144"/>
      <c r="R611" s="290">
        <f>447+502</f>
        <v>949</v>
      </c>
      <c r="S611" s="291"/>
      <c r="T611" s="63"/>
      <c r="V611" s="83"/>
      <c r="W611" s="83"/>
      <c r="X611" s="84"/>
      <c r="Y611" s="83"/>
    </row>
    <row r="612" spans="1:25" ht="45" customHeight="1">
      <c r="A612" s="39"/>
      <c r="B612" s="30"/>
      <c r="C612" s="30"/>
      <c r="D612" s="161" t="s">
        <v>790</v>
      </c>
      <c r="E612" s="162"/>
      <c r="F612" s="162"/>
      <c r="G612" s="162"/>
      <c r="H612" s="162"/>
      <c r="I612" s="162"/>
      <c r="J612" s="162"/>
      <c r="K612" s="163"/>
      <c r="L612" s="140" t="s">
        <v>647</v>
      </c>
      <c r="M612" s="141"/>
      <c r="N612" s="144" t="s">
        <v>208</v>
      </c>
      <c r="O612" s="144"/>
      <c r="P612" s="144"/>
      <c r="Q612" s="144"/>
      <c r="R612" s="290">
        <f>447+502</f>
        <v>949</v>
      </c>
      <c r="S612" s="291"/>
      <c r="T612" s="63"/>
      <c r="V612" s="83"/>
      <c r="W612" s="83"/>
      <c r="X612" s="84"/>
      <c r="Y612" s="83"/>
    </row>
    <row r="613" spans="1:25" ht="45" customHeight="1">
      <c r="A613" s="39"/>
      <c r="B613" s="30"/>
      <c r="C613" s="30"/>
      <c r="D613" s="161" t="s">
        <v>202</v>
      </c>
      <c r="E613" s="162"/>
      <c r="F613" s="162"/>
      <c r="G613" s="162"/>
      <c r="H613" s="162"/>
      <c r="I613" s="162"/>
      <c r="J613" s="162"/>
      <c r="K613" s="163"/>
      <c r="L613" s="140" t="s">
        <v>388</v>
      </c>
      <c r="M613" s="141"/>
      <c r="N613" s="144" t="s">
        <v>756</v>
      </c>
      <c r="O613" s="144"/>
      <c r="P613" s="144"/>
      <c r="Q613" s="144"/>
      <c r="R613" s="320">
        <v>778</v>
      </c>
      <c r="S613" s="320"/>
      <c r="T613" s="63"/>
      <c r="V613" s="83"/>
      <c r="W613" s="83"/>
      <c r="X613" s="84"/>
      <c r="Y613" s="83"/>
    </row>
    <row r="614" spans="1:25" ht="35.25" customHeight="1">
      <c r="A614" s="39"/>
      <c r="B614" s="30"/>
      <c r="C614" s="30"/>
      <c r="D614" s="143" t="s">
        <v>201</v>
      </c>
      <c r="E614" s="143"/>
      <c r="F614" s="143"/>
      <c r="G614" s="143"/>
      <c r="H614" s="143"/>
      <c r="I614" s="143"/>
      <c r="J614" s="143"/>
      <c r="K614" s="143"/>
      <c r="L614" s="140" t="s">
        <v>388</v>
      </c>
      <c r="M614" s="141"/>
      <c r="N614" s="144" t="s">
        <v>756</v>
      </c>
      <c r="O614" s="144"/>
      <c r="P614" s="144"/>
      <c r="Q614" s="144"/>
      <c r="R614" s="320">
        <v>778</v>
      </c>
      <c r="S614" s="320"/>
      <c r="T614" s="63"/>
      <c r="V614" s="83"/>
      <c r="W614" s="83"/>
      <c r="X614" s="84"/>
      <c r="Y614" s="83"/>
    </row>
    <row r="615" spans="1:25" ht="35.25" customHeight="1">
      <c r="A615" s="39"/>
      <c r="B615" s="30"/>
      <c r="C615" s="30"/>
      <c r="D615" s="161" t="s">
        <v>167</v>
      </c>
      <c r="E615" s="162"/>
      <c r="F615" s="162"/>
      <c r="G615" s="162"/>
      <c r="H615" s="162"/>
      <c r="I615" s="162"/>
      <c r="J615" s="162"/>
      <c r="K615" s="163"/>
      <c r="L615" s="140" t="s">
        <v>189</v>
      </c>
      <c r="M615" s="141"/>
      <c r="N615" s="144" t="s">
        <v>756</v>
      </c>
      <c r="O615" s="144"/>
      <c r="P615" s="144"/>
      <c r="Q615" s="144"/>
      <c r="R615" s="164">
        <f>435*2.25</f>
        <v>978.75</v>
      </c>
      <c r="S615" s="165"/>
      <c r="T615" s="63"/>
      <c r="V615" s="83"/>
      <c r="W615" s="83"/>
      <c r="X615" s="84"/>
      <c r="Y615" s="83"/>
    </row>
    <row r="616" spans="1:25" ht="35.25" customHeight="1">
      <c r="A616" s="39"/>
      <c r="B616" s="30"/>
      <c r="C616" s="30"/>
      <c r="D616" s="261" t="s">
        <v>168</v>
      </c>
      <c r="E616" s="262"/>
      <c r="F616" s="262"/>
      <c r="G616" s="262"/>
      <c r="H616" s="262"/>
      <c r="I616" s="262"/>
      <c r="J616" s="262"/>
      <c r="K616" s="263"/>
      <c r="L616" s="140" t="s">
        <v>189</v>
      </c>
      <c r="M616" s="141"/>
      <c r="N616" s="144" t="s">
        <v>756</v>
      </c>
      <c r="O616" s="144"/>
      <c r="P616" s="144"/>
      <c r="Q616" s="144"/>
      <c r="R616" s="164">
        <f>435*2.25</f>
        <v>978.75</v>
      </c>
      <c r="S616" s="165"/>
      <c r="T616" s="63"/>
      <c r="V616" s="83"/>
      <c r="W616" s="83"/>
      <c r="X616" s="84"/>
      <c r="Y616" s="83"/>
    </row>
    <row r="617" spans="1:25" ht="35.25" customHeight="1">
      <c r="A617" s="39"/>
      <c r="B617" s="30"/>
      <c r="C617" s="30"/>
      <c r="D617" s="161" t="s">
        <v>166</v>
      </c>
      <c r="E617" s="162"/>
      <c r="F617" s="162"/>
      <c r="G617" s="162"/>
      <c r="H617" s="162"/>
      <c r="I617" s="162"/>
      <c r="J617" s="162"/>
      <c r="K617" s="163"/>
      <c r="L617" s="140" t="s">
        <v>189</v>
      </c>
      <c r="M617" s="141"/>
      <c r="N617" s="144" t="s">
        <v>348</v>
      </c>
      <c r="O617" s="144"/>
      <c r="P617" s="144"/>
      <c r="Q617" s="144"/>
      <c r="R617" s="164">
        <f>312.5</f>
        <v>312.5</v>
      </c>
      <c r="S617" s="165"/>
      <c r="T617" s="63"/>
      <c r="V617" s="83"/>
      <c r="W617" s="83"/>
      <c r="X617" s="84"/>
      <c r="Y617" s="83"/>
    </row>
    <row r="618" spans="1:25" ht="35.25" customHeight="1">
      <c r="A618" s="39"/>
      <c r="B618" s="30"/>
      <c r="C618" s="30"/>
      <c r="D618" s="261" t="s">
        <v>169</v>
      </c>
      <c r="E618" s="262"/>
      <c r="F618" s="262"/>
      <c r="G618" s="262"/>
      <c r="H618" s="262"/>
      <c r="I618" s="262"/>
      <c r="J618" s="262"/>
      <c r="K618" s="263"/>
      <c r="L618" s="140" t="s">
        <v>189</v>
      </c>
      <c r="M618" s="141"/>
      <c r="N618" s="144" t="s">
        <v>348</v>
      </c>
      <c r="O618" s="144"/>
      <c r="P618" s="144"/>
      <c r="Q618" s="144"/>
      <c r="R618" s="164">
        <f>312.5</f>
        <v>312.5</v>
      </c>
      <c r="S618" s="165"/>
      <c r="T618" s="63"/>
      <c r="V618" s="83"/>
      <c r="W618" s="83"/>
      <c r="X618" s="84"/>
      <c r="Y618" s="83"/>
    </row>
    <row r="619" spans="1:25" ht="35.25" customHeight="1">
      <c r="A619" s="39"/>
      <c r="B619" s="30"/>
      <c r="C619" s="30"/>
      <c r="D619" s="161" t="s">
        <v>542</v>
      </c>
      <c r="E619" s="162"/>
      <c r="F619" s="162"/>
      <c r="G619" s="162"/>
      <c r="H619" s="162"/>
      <c r="I619" s="162"/>
      <c r="J619" s="162"/>
      <c r="K619" s="163"/>
      <c r="L619" s="140" t="s">
        <v>189</v>
      </c>
      <c r="M619" s="141"/>
      <c r="N619" s="144" t="s">
        <v>742</v>
      </c>
      <c r="O619" s="144"/>
      <c r="P619" s="144"/>
      <c r="Q619" s="144"/>
      <c r="R619" s="164">
        <f>2.5*2.75*10</f>
        <v>68.75</v>
      </c>
      <c r="S619" s="165"/>
      <c r="T619" s="63"/>
      <c r="V619" s="83"/>
      <c r="W619" s="83"/>
      <c r="X619" s="84"/>
      <c r="Y619" s="83"/>
    </row>
    <row r="620" spans="1:25" ht="35.25" customHeight="1">
      <c r="A620" s="39"/>
      <c r="B620" s="30"/>
      <c r="C620" s="30"/>
      <c r="D620" s="161" t="s">
        <v>542</v>
      </c>
      <c r="E620" s="162"/>
      <c r="F620" s="162"/>
      <c r="G620" s="162"/>
      <c r="H620" s="162"/>
      <c r="I620" s="162"/>
      <c r="J620" s="162"/>
      <c r="K620" s="163"/>
      <c r="L620" s="140" t="s">
        <v>189</v>
      </c>
      <c r="M620" s="141"/>
      <c r="N620" s="144" t="s">
        <v>543</v>
      </c>
      <c r="O620" s="144"/>
      <c r="P620" s="144"/>
      <c r="Q620" s="144"/>
      <c r="R620" s="164">
        <f>2.5*2.75*10</f>
        <v>68.75</v>
      </c>
      <c r="S620" s="165"/>
      <c r="T620" s="63"/>
      <c r="V620" s="83"/>
      <c r="W620" s="83"/>
      <c r="X620" s="84"/>
      <c r="Y620" s="83"/>
    </row>
    <row r="621" spans="1:25" ht="42.75" customHeight="1">
      <c r="A621" s="39"/>
      <c r="B621" s="30"/>
      <c r="C621" s="30"/>
      <c r="D621" s="261" t="s">
        <v>26</v>
      </c>
      <c r="E621" s="262"/>
      <c r="F621" s="262"/>
      <c r="G621" s="262"/>
      <c r="H621" s="262"/>
      <c r="I621" s="262"/>
      <c r="J621" s="262"/>
      <c r="K621" s="263"/>
      <c r="L621" s="140" t="s">
        <v>737</v>
      </c>
      <c r="M621" s="141"/>
      <c r="N621" s="274" t="s">
        <v>252</v>
      </c>
      <c r="O621" s="275"/>
      <c r="P621" s="275"/>
      <c r="Q621" s="276"/>
      <c r="R621" s="390">
        <f>3+1</f>
        <v>4</v>
      </c>
      <c r="S621" s="391"/>
      <c r="T621" s="63"/>
      <c r="V621" s="83"/>
      <c r="W621" s="83"/>
      <c r="X621" s="84"/>
      <c r="Y621" s="83"/>
    </row>
    <row r="622" spans="1:25" ht="41.25" customHeight="1">
      <c r="A622" s="39"/>
      <c r="B622" s="30"/>
      <c r="C622" s="30"/>
      <c r="D622" s="261" t="s">
        <v>25</v>
      </c>
      <c r="E622" s="262"/>
      <c r="F622" s="262"/>
      <c r="G622" s="262"/>
      <c r="H622" s="262"/>
      <c r="I622" s="262"/>
      <c r="J622" s="262"/>
      <c r="K622" s="263"/>
      <c r="L622" s="140" t="s">
        <v>737</v>
      </c>
      <c r="M622" s="141"/>
      <c r="N622" s="274" t="s">
        <v>252</v>
      </c>
      <c r="O622" s="275"/>
      <c r="P622" s="275"/>
      <c r="Q622" s="276"/>
      <c r="R622" s="390">
        <f>3+1</f>
        <v>4</v>
      </c>
      <c r="S622" s="391"/>
      <c r="T622" s="63"/>
      <c r="V622" s="83"/>
      <c r="W622" s="83"/>
      <c r="X622" s="84"/>
      <c r="Y622" s="83"/>
    </row>
    <row r="623" spans="1:25" ht="22.5" customHeight="1">
      <c r="A623" s="39"/>
      <c r="B623" s="30"/>
      <c r="C623" s="30"/>
      <c r="D623" s="161" t="s">
        <v>15</v>
      </c>
      <c r="E623" s="162"/>
      <c r="F623" s="162"/>
      <c r="G623" s="162"/>
      <c r="H623" s="162"/>
      <c r="I623" s="162"/>
      <c r="J623" s="162"/>
      <c r="K623" s="163"/>
      <c r="L623" s="140" t="s">
        <v>189</v>
      </c>
      <c r="M623" s="141"/>
      <c r="N623" s="274" t="s">
        <v>209</v>
      </c>
      <c r="O623" s="275"/>
      <c r="P623" s="275"/>
      <c r="Q623" s="276"/>
      <c r="R623" s="153">
        <v>220</v>
      </c>
      <c r="S623" s="154"/>
      <c r="T623" s="63"/>
      <c r="V623" s="83"/>
      <c r="W623" s="83"/>
      <c r="X623" s="84"/>
      <c r="Y623" s="83"/>
    </row>
    <row r="624" spans="1:25" ht="39" customHeight="1">
      <c r="A624" s="39"/>
      <c r="B624" s="30"/>
      <c r="C624" s="30"/>
      <c r="D624" s="161" t="s">
        <v>16</v>
      </c>
      <c r="E624" s="162"/>
      <c r="F624" s="162"/>
      <c r="G624" s="162"/>
      <c r="H624" s="162"/>
      <c r="I624" s="162"/>
      <c r="J624" s="162"/>
      <c r="K624" s="163"/>
      <c r="L624" s="140" t="s">
        <v>189</v>
      </c>
      <c r="M624" s="141"/>
      <c r="N624" s="274" t="s">
        <v>208</v>
      </c>
      <c r="O624" s="275"/>
      <c r="P624" s="275"/>
      <c r="Q624" s="276"/>
      <c r="R624" s="153">
        <v>220</v>
      </c>
      <c r="S624" s="154"/>
      <c r="T624" s="63"/>
      <c r="V624" s="83"/>
      <c r="W624" s="83"/>
      <c r="X624" s="84"/>
      <c r="Y624" s="83"/>
    </row>
    <row r="625" spans="1:25" ht="19.5" customHeight="1">
      <c r="A625" s="39"/>
      <c r="B625" s="30"/>
      <c r="C625" s="30"/>
      <c r="D625" s="181" t="s">
        <v>694</v>
      </c>
      <c r="E625" s="182"/>
      <c r="F625" s="182"/>
      <c r="G625" s="182"/>
      <c r="H625" s="182"/>
      <c r="I625" s="182"/>
      <c r="J625" s="182"/>
      <c r="K625" s="182"/>
      <c r="L625" s="140"/>
      <c r="M625" s="141"/>
      <c r="N625" s="144"/>
      <c r="O625" s="144"/>
      <c r="P625" s="144"/>
      <c r="Q625" s="144"/>
      <c r="R625" s="144"/>
      <c r="S625" s="144"/>
      <c r="T625" s="63"/>
      <c r="V625" s="83"/>
      <c r="W625" s="83"/>
      <c r="X625" s="84"/>
      <c r="Y625" s="83"/>
    </row>
    <row r="626" spans="1:25" ht="35.25" customHeight="1">
      <c r="A626" s="39"/>
      <c r="B626" s="30"/>
      <c r="C626" s="30"/>
      <c r="D626" s="166" t="s">
        <v>203</v>
      </c>
      <c r="E626" s="167"/>
      <c r="F626" s="167"/>
      <c r="G626" s="167"/>
      <c r="H626" s="167"/>
      <c r="I626" s="167"/>
      <c r="J626" s="167"/>
      <c r="K626" s="168"/>
      <c r="L626" s="140" t="s">
        <v>690</v>
      </c>
      <c r="M626" s="141"/>
      <c r="N626" s="140" t="s">
        <v>603</v>
      </c>
      <c r="O626" s="142"/>
      <c r="P626" s="142"/>
      <c r="Q626" s="141"/>
      <c r="R626" s="288">
        <f>R601/R611</f>
        <v>0.07639515279241306</v>
      </c>
      <c r="S626" s="289"/>
      <c r="T626" s="107">
        <f>R626*R611</f>
        <v>72.499</v>
      </c>
      <c r="V626" s="83"/>
      <c r="W626" s="83"/>
      <c r="X626" s="84"/>
      <c r="Y626" s="104">
        <f>R626*R611</f>
        <v>72.499</v>
      </c>
    </row>
    <row r="627" spans="1:25" ht="35.25" customHeight="1">
      <c r="A627" s="39"/>
      <c r="B627" s="76"/>
      <c r="C627" s="76"/>
      <c r="D627" s="261" t="s">
        <v>205</v>
      </c>
      <c r="E627" s="262"/>
      <c r="F627" s="262"/>
      <c r="G627" s="262"/>
      <c r="H627" s="262"/>
      <c r="I627" s="262"/>
      <c r="J627" s="262"/>
      <c r="K627" s="263"/>
      <c r="L627" s="140" t="s">
        <v>690</v>
      </c>
      <c r="M627" s="141"/>
      <c r="N627" s="140" t="s">
        <v>603</v>
      </c>
      <c r="O627" s="142"/>
      <c r="P627" s="142"/>
      <c r="Q627" s="141"/>
      <c r="R627" s="288">
        <v>40</v>
      </c>
      <c r="S627" s="289"/>
      <c r="T627" s="107" t="e">
        <f>R627*#REF!</f>
        <v>#REF!</v>
      </c>
      <c r="V627" s="83"/>
      <c r="W627" s="83"/>
      <c r="X627" s="84"/>
      <c r="Y627" s="105">
        <f>R627</f>
        <v>40</v>
      </c>
    </row>
    <row r="628" spans="1:25" ht="37.5" customHeight="1">
      <c r="A628" s="39"/>
      <c r="B628" s="76"/>
      <c r="C628" s="76"/>
      <c r="D628" s="166" t="s">
        <v>204</v>
      </c>
      <c r="E628" s="167"/>
      <c r="F628" s="167"/>
      <c r="G628" s="167"/>
      <c r="H628" s="167"/>
      <c r="I628" s="167"/>
      <c r="J628" s="167"/>
      <c r="K628" s="168"/>
      <c r="L628" s="140" t="s">
        <v>690</v>
      </c>
      <c r="M628" s="141"/>
      <c r="N628" s="140" t="s">
        <v>603</v>
      </c>
      <c r="O628" s="142"/>
      <c r="P628" s="142"/>
      <c r="Q628" s="141"/>
      <c r="R628" s="388">
        <f>R603/R613</f>
        <v>1.9280205655526992</v>
      </c>
      <c r="S628" s="389"/>
      <c r="T628" s="107">
        <f>R628*R613</f>
        <v>1500</v>
      </c>
      <c r="V628" s="83"/>
      <c r="W628" s="83"/>
      <c r="X628" s="84"/>
      <c r="Y628" s="104">
        <f>R628*R613</f>
        <v>1500</v>
      </c>
    </row>
    <row r="629" spans="1:25" ht="37.5" customHeight="1">
      <c r="A629" s="39"/>
      <c r="B629" s="76"/>
      <c r="C629" s="76"/>
      <c r="D629" s="261" t="s">
        <v>170</v>
      </c>
      <c r="E629" s="262"/>
      <c r="F629" s="262"/>
      <c r="G629" s="262"/>
      <c r="H629" s="262"/>
      <c r="I629" s="262"/>
      <c r="J629" s="262"/>
      <c r="K629" s="263"/>
      <c r="L629" s="140" t="s">
        <v>690</v>
      </c>
      <c r="M629" s="141"/>
      <c r="N629" s="140" t="s">
        <v>603</v>
      </c>
      <c r="O629" s="142"/>
      <c r="P629" s="142"/>
      <c r="Q629" s="141"/>
      <c r="R629" s="388">
        <f>R604/R616</f>
        <v>0.9165578544061302</v>
      </c>
      <c r="S629" s="389"/>
      <c r="T629" s="107">
        <f>R629*R615</f>
        <v>897.081</v>
      </c>
      <c r="V629" s="83"/>
      <c r="W629" s="83"/>
      <c r="X629" s="84"/>
      <c r="Y629" s="104">
        <f>R629*R616*1000</f>
        <v>897081</v>
      </c>
    </row>
    <row r="630" spans="1:25" ht="24.75" customHeight="1">
      <c r="A630" s="39"/>
      <c r="B630" s="30"/>
      <c r="C630" s="30"/>
      <c r="D630" s="387" t="s">
        <v>171</v>
      </c>
      <c r="E630" s="387"/>
      <c r="F630" s="387"/>
      <c r="G630" s="387"/>
      <c r="H630" s="387"/>
      <c r="I630" s="387"/>
      <c r="J630" s="387"/>
      <c r="K630" s="387"/>
      <c r="L630" s="144" t="s">
        <v>690</v>
      </c>
      <c r="M630" s="144"/>
      <c r="N630" s="144" t="s">
        <v>603</v>
      </c>
      <c r="O630" s="144"/>
      <c r="P630" s="144"/>
      <c r="Q630" s="144"/>
      <c r="R630" s="324">
        <f>R605/R618</f>
        <v>0.41826864</v>
      </c>
      <c r="S630" s="324"/>
      <c r="T630" s="107">
        <f>R630*R617</f>
        <v>130.70895000000002</v>
      </c>
      <c r="V630" s="83"/>
      <c r="W630" s="83"/>
      <c r="X630" s="84"/>
      <c r="Y630" s="104">
        <f>R630*R617*1000</f>
        <v>130708.95000000001</v>
      </c>
    </row>
    <row r="631" spans="1:25" ht="24.75" customHeight="1">
      <c r="A631" s="39"/>
      <c r="B631" s="76"/>
      <c r="C631" s="76"/>
      <c r="D631" s="166" t="s">
        <v>544</v>
      </c>
      <c r="E631" s="167"/>
      <c r="F631" s="167"/>
      <c r="G631" s="167"/>
      <c r="H631" s="167"/>
      <c r="I631" s="167"/>
      <c r="J631" s="167"/>
      <c r="K631" s="168"/>
      <c r="L631" s="140" t="s">
        <v>690</v>
      </c>
      <c r="M631" s="141"/>
      <c r="N631" s="140" t="s">
        <v>603</v>
      </c>
      <c r="O631" s="142"/>
      <c r="P631" s="142"/>
      <c r="Q631" s="141"/>
      <c r="R631" s="388">
        <f>500/R619</f>
        <v>7.2727272727272725</v>
      </c>
      <c r="S631" s="389"/>
      <c r="T631" s="107"/>
      <c r="V631" s="83"/>
      <c r="W631" s="83"/>
      <c r="X631" s="84"/>
      <c r="Y631" s="104"/>
    </row>
    <row r="632" spans="1:25" ht="24.75" customHeight="1">
      <c r="A632" s="39"/>
      <c r="B632" s="76"/>
      <c r="C632" s="76"/>
      <c r="D632" s="261" t="s">
        <v>178</v>
      </c>
      <c r="E632" s="262"/>
      <c r="F632" s="262"/>
      <c r="G632" s="262"/>
      <c r="H632" s="262"/>
      <c r="I632" s="262"/>
      <c r="J632" s="262"/>
      <c r="K632" s="263"/>
      <c r="L632" s="140" t="s">
        <v>690</v>
      </c>
      <c r="M632" s="141"/>
      <c r="N632" s="140" t="s">
        <v>603</v>
      </c>
      <c r="O632" s="142"/>
      <c r="P632" s="142"/>
      <c r="Q632" s="141"/>
      <c r="R632" s="288">
        <f>(28+R602+R607+R608)/R622</f>
        <v>20.65625</v>
      </c>
      <c r="S632" s="289"/>
      <c r="T632" s="107"/>
      <c r="V632" s="83"/>
      <c r="W632" s="83"/>
      <c r="X632" s="84"/>
      <c r="Y632" s="104"/>
    </row>
    <row r="633" spans="1:25" ht="24.75" customHeight="1">
      <c r="A633" s="39"/>
      <c r="B633" s="76"/>
      <c r="C633" s="76"/>
      <c r="D633" s="166" t="s">
        <v>17</v>
      </c>
      <c r="E633" s="167"/>
      <c r="F633" s="167"/>
      <c r="G633" s="167"/>
      <c r="H633" s="167"/>
      <c r="I633" s="167"/>
      <c r="J633" s="167"/>
      <c r="K633" s="168"/>
      <c r="L633" s="140" t="s">
        <v>690</v>
      </c>
      <c r="M633" s="141"/>
      <c r="N633" s="140" t="s">
        <v>603</v>
      </c>
      <c r="O633" s="142"/>
      <c r="P633" s="142"/>
      <c r="Q633" s="141"/>
      <c r="R633" s="288">
        <f>R609/R623</f>
        <v>0.45227272727272727</v>
      </c>
      <c r="S633" s="289"/>
      <c r="T633" s="107"/>
      <c r="V633" s="83"/>
      <c r="W633" s="83"/>
      <c r="X633" s="84"/>
      <c r="Y633" s="104"/>
    </row>
    <row r="634" spans="1:25" ht="19.5" customHeight="1">
      <c r="A634" s="39"/>
      <c r="B634" s="76"/>
      <c r="C634" s="76"/>
      <c r="D634" s="321" t="s">
        <v>697</v>
      </c>
      <c r="E634" s="321"/>
      <c r="F634" s="321"/>
      <c r="G634" s="321"/>
      <c r="H634" s="321"/>
      <c r="I634" s="321"/>
      <c r="J634" s="321"/>
      <c r="K634" s="321"/>
      <c r="L634" s="144"/>
      <c r="M634" s="144"/>
      <c r="N634" s="144"/>
      <c r="O634" s="144"/>
      <c r="P634" s="144"/>
      <c r="Q634" s="144"/>
      <c r="R634" s="189"/>
      <c r="S634" s="189"/>
      <c r="T634" s="63"/>
      <c r="V634" s="83"/>
      <c r="W634" s="83"/>
      <c r="X634" s="84"/>
      <c r="Y634" s="83"/>
    </row>
    <row r="635" spans="1:25" ht="37.5" customHeight="1">
      <c r="A635" s="39"/>
      <c r="B635" s="30"/>
      <c r="C635" s="30"/>
      <c r="D635" s="192" t="s">
        <v>241</v>
      </c>
      <c r="E635" s="192"/>
      <c r="F635" s="192"/>
      <c r="G635" s="192"/>
      <c r="H635" s="192"/>
      <c r="I635" s="192"/>
      <c r="J635" s="192"/>
      <c r="K635" s="192"/>
      <c r="L635" s="144" t="s">
        <v>696</v>
      </c>
      <c r="M635" s="144"/>
      <c r="N635" s="140" t="s">
        <v>603</v>
      </c>
      <c r="O635" s="142"/>
      <c r="P635" s="142"/>
      <c r="Q635" s="141"/>
      <c r="R635" s="189">
        <v>100</v>
      </c>
      <c r="S635" s="189"/>
      <c r="T635" s="63"/>
      <c r="V635" s="83"/>
      <c r="W635" s="83"/>
      <c r="X635" s="84"/>
      <c r="Y635" s="83"/>
    </row>
    <row r="636" spans="1:25" ht="9" customHeight="1">
      <c r="A636" s="39"/>
      <c r="B636" s="39"/>
      <c r="C636" s="39"/>
      <c r="D636" s="66"/>
      <c r="E636" s="66"/>
      <c r="F636" s="66"/>
      <c r="G636" s="66"/>
      <c r="H636" s="66"/>
      <c r="I636" s="66"/>
      <c r="J636" s="66"/>
      <c r="K636" s="66"/>
      <c r="L636" s="56"/>
      <c r="M636" s="56"/>
      <c r="N636" s="56"/>
      <c r="O636" s="56"/>
      <c r="P636" s="56"/>
      <c r="Q636" s="56"/>
      <c r="R636" s="56"/>
      <c r="S636" s="56"/>
      <c r="T636" s="63"/>
      <c r="V636" s="83"/>
      <c r="W636" s="83"/>
      <c r="X636" s="84"/>
      <c r="Y636" s="83"/>
    </row>
    <row r="637" spans="1:25" ht="36" customHeight="1">
      <c r="A637" s="39"/>
      <c r="B637" s="30" t="s">
        <v>683</v>
      </c>
      <c r="C637" s="30" t="s">
        <v>721</v>
      </c>
      <c r="D637" s="144" t="s">
        <v>225</v>
      </c>
      <c r="E637" s="144"/>
      <c r="F637" s="144"/>
      <c r="G637" s="144"/>
      <c r="H637" s="144"/>
      <c r="I637" s="144"/>
      <c r="J637" s="144"/>
      <c r="K637" s="144"/>
      <c r="L637" s="140" t="s">
        <v>715</v>
      </c>
      <c r="M637" s="141"/>
      <c r="N637" s="144" t="s">
        <v>687</v>
      </c>
      <c r="O637" s="144"/>
      <c r="P637" s="144"/>
      <c r="Q637" s="144"/>
      <c r="R637" s="144" t="s">
        <v>733</v>
      </c>
      <c r="S637" s="187"/>
      <c r="T637" s="63"/>
      <c r="V637" s="83"/>
      <c r="W637" s="83"/>
      <c r="X637" s="84"/>
      <c r="Y637" s="83"/>
    </row>
    <row r="638" spans="1:25" ht="15" customHeight="1">
      <c r="A638" s="39"/>
      <c r="B638" s="30">
        <v>1</v>
      </c>
      <c r="C638" s="30">
        <v>2</v>
      </c>
      <c r="D638" s="205">
        <v>3</v>
      </c>
      <c r="E638" s="206"/>
      <c r="F638" s="206"/>
      <c r="G638" s="206"/>
      <c r="H638" s="206"/>
      <c r="I638" s="206"/>
      <c r="J638" s="206"/>
      <c r="K638" s="207"/>
      <c r="L638" s="140">
        <v>4</v>
      </c>
      <c r="M638" s="141"/>
      <c r="N638" s="144">
        <v>5</v>
      </c>
      <c r="O638" s="144"/>
      <c r="P638" s="144"/>
      <c r="Q638" s="144"/>
      <c r="R638" s="144">
        <v>6</v>
      </c>
      <c r="S638" s="187"/>
      <c r="T638" s="63"/>
      <c r="V638" s="83"/>
      <c r="W638" s="83"/>
      <c r="X638" s="84"/>
      <c r="Y638" s="83"/>
    </row>
    <row r="639" spans="1:24" ht="18.75" customHeight="1">
      <c r="A639" s="39"/>
      <c r="B639" s="32">
        <v>1</v>
      </c>
      <c r="C639" s="32">
        <v>4016060</v>
      </c>
      <c r="D639" s="178" t="s">
        <v>717</v>
      </c>
      <c r="E639" s="179"/>
      <c r="F639" s="179"/>
      <c r="G639" s="179"/>
      <c r="H639" s="179"/>
      <c r="I639" s="179"/>
      <c r="J639" s="179"/>
      <c r="K639" s="179"/>
      <c r="L639" s="179"/>
      <c r="M639" s="179"/>
      <c r="N639" s="179"/>
      <c r="O639" s="179"/>
      <c r="P639" s="179"/>
      <c r="Q639" s="179"/>
      <c r="R639" s="179"/>
      <c r="S639" s="180"/>
      <c r="T639" s="63"/>
      <c r="X639" s="67"/>
    </row>
    <row r="640" spans="1:24" ht="21" customHeight="1">
      <c r="A640" s="39"/>
      <c r="B640" s="32"/>
      <c r="C640" s="32"/>
      <c r="D640" s="178" t="s">
        <v>172</v>
      </c>
      <c r="E640" s="179"/>
      <c r="F640" s="179"/>
      <c r="G640" s="179"/>
      <c r="H640" s="179"/>
      <c r="I640" s="179"/>
      <c r="J640" s="179"/>
      <c r="K640" s="179"/>
      <c r="L640" s="179"/>
      <c r="M640" s="179"/>
      <c r="N640" s="179"/>
      <c r="O640" s="179"/>
      <c r="P640" s="179"/>
      <c r="Q640" s="179"/>
      <c r="R640" s="179"/>
      <c r="S640" s="180"/>
      <c r="T640" s="63"/>
      <c r="X640" s="67"/>
    </row>
    <row r="641" spans="1:24" ht="20.25" customHeight="1">
      <c r="A641" s="39"/>
      <c r="B641" s="33"/>
      <c r="C641" s="41"/>
      <c r="D641" s="181" t="s">
        <v>688</v>
      </c>
      <c r="E641" s="182"/>
      <c r="F641" s="182"/>
      <c r="G641" s="182"/>
      <c r="H641" s="182"/>
      <c r="I641" s="182"/>
      <c r="J641" s="182"/>
      <c r="K641" s="183"/>
      <c r="L641" s="140"/>
      <c r="M641" s="141"/>
      <c r="N641" s="144"/>
      <c r="O641" s="144"/>
      <c r="P641" s="144"/>
      <c r="Q641" s="144"/>
      <c r="R641" s="144"/>
      <c r="S641" s="187"/>
      <c r="T641" s="63"/>
      <c r="X641" s="67"/>
    </row>
    <row r="642" spans="1:24" ht="18.75" customHeight="1">
      <c r="A642" s="39"/>
      <c r="B642" s="33"/>
      <c r="C642" s="41"/>
      <c r="D642" s="161" t="s">
        <v>589</v>
      </c>
      <c r="E642" s="162"/>
      <c r="F642" s="162"/>
      <c r="G642" s="162"/>
      <c r="H642" s="162"/>
      <c r="I642" s="162"/>
      <c r="J642" s="162"/>
      <c r="K642" s="163"/>
      <c r="L642" s="140" t="s">
        <v>690</v>
      </c>
      <c r="M642" s="141"/>
      <c r="N642" s="170" t="s">
        <v>568</v>
      </c>
      <c r="O642" s="170"/>
      <c r="P642" s="170"/>
      <c r="Q642" s="170"/>
      <c r="R642" s="295">
        <f>SUM(R643:S652)</f>
        <v>12817.16994</v>
      </c>
      <c r="S642" s="296"/>
      <c r="T642" s="63"/>
      <c r="X642" s="67"/>
    </row>
    <row r="643" spans="1:24" ht="33.75" customHeight="1">
      <c r="A643" s="39"/>
      <c r="B643" s="33"/>
      <c r="C643" s="41"/>
      <c r="D643" s="161" t="s">
        <v>290</v>
      </c>
      <c r="E643" s="162"/>
      <c r="F643" s="162"/>
      <c r="G643" s="162"/>
      <c r="H643" s="162"/>
      <c r="I643" s="162"/>
      <c r="J643" s="162"/>
      <c r="K643" s="163"/>
      <c r="L643" s="140" t="s">
        <v>690</v>
      </c>
      <c r="M643" s="141"/>
      <c r="N643" s="144" t="s">
        <v>691</v>
      </c>
      <c r="O643" s="144"/>
      <c r="P643" s="144"/>
      <c r="Q643" s="144"/>
      <c r="R643" s="290">
        <f>(170-84.475)+84.475+200+180+(250-145.112)-85.525-200-44.553</f>
        <v>324.81000000000006</v>
      </c>
      <c r="S643" s="291"/>
      <c r="T643" s="63"/>
      <c r="X643" s="67"/>
    </row>
    <row r="644" spans="1:24" ht="20.25" customHeight="1">
      <c r="A644" s="39"/>
      <c r="B644" s="33"/>
      <c r="C644" s="41"/>
      <c r="D644" s="161" t="s">
        <v>289</v>
      </c>
      <c r="E644" s="162"/>
      <c r="F644" s="162"/>
      <c r="G644" s="162"/>
      <c r="H644" s="162"/>
      <c r="I644" s="162"/>
      <c r="J644" s="162"/>
      <c r="K644" s="163"/>
      <c r="L644" s="140" t="s">
        <v>690</v>
      </c>
      <c r="M644" s="141"/>
      <c r="N644" s="144" t="s">
        <v>691</v>
      </c>
      <c r="O644" s="144"/>
      <c r="P644" s="144"/>
      <c r="Q644" s="144"/>
      <c r="R644" s="295">
        <v>300</v>
      </c>
      <c r="S644" s="296"/>
      <c r="T644" s="63"/>
      <c r="X644" s="67"/>
    </row>
    <row r="645" spans="1:24" ht="37.5" customHeight="1">
      <c r="A645" s="39"/>
      <c r="B645" s="33"/>
      <c r="C645" s="41"/>
      <c r="D645" s="161" t="s">
        <v>537</v>
      </c>
      <c r="E645" s="162"/>
      <c r="F645" s="162"/>
      <c r="G645" s="162"/>
      <c r="H645" s="162"/>
      <c r="I645" s="162"/>
      <c r="J645" s="162"/>
      <c r="K645" s="163"/>
      <c r="L645" s="140" t="s">
        <v>690</v>
      </c>
      <c r="M645" s="141"/>
      <c r="N645" s="144" t="s">
        <v>691</v>
      </c>
      <c r="O645" s="144"/>
      <c r="P645" s="144"/>
      <c r="Q645" s="144"/>
      <c r="R645" s="295">
        <f>1911.886+838.114+75.99</f>
        <v>2825.99</v>
      </c>
      <c r="S645" s="296"/>
      <c r="T645" s="63"/>
      <c r="X645" s="67"/>
    </row>
    <row r="646" spans="1:24" ht="34.5" customHeight="1">
      <c r="A646" s="39"/>
      <c r="B646" s="33"/>
      <c r="C646" s="41"/>
      <c r="D646" s="161" t="s">
        <v>384</v>
      </c>
      <c r="E646" s="162"/>
      <c r="F646" s="162"/>
      <c r="G646" s="162"/>
      <c r="H646" s="162"/>
      <c r="I646" s="162"/>
      <c r="J646" s="162"/>
      <c r="K646" s="163"/>
      <c r="L646" s="140" t="s">
        <v>690</v>
      </c>
      <c r="M646" s="141"/>
      <c r="N646" s="144" t="s">
        <v>691</v>
      </c>
      <c r="O646" s="144"/>
      <c r="P646" s="144"/>
      <c r="Q646" s="144"/>
      <c r="R646" s="221">
        <v>3977.125</v>
      </c>
      <c r="S646" s="222"/>
      <c r="T646" s="63"/>
      <c r="X646" s="67"/>
    </row>
    <row r="647" spans="1:24" ht="20.25" customHeight="1">
      <c r="A647" s="39"/>
      <c r="B647" s="33"/>
      <c r="C647" s="41"/>
      <c r="D647" s="161" t="s">
        <v>287</v>
      </c>
      <c r="E647" s="162"/>
      <c r="F647" s="162"/>
      <c r="G647" s="162"/>
      <c r="H647" s="162"/>
      <c r="I647" s="162"/>
      <c r="J647" s="162"/>
      <c r="K647" s="163"/>
      <c r="L647" s="140" t="s">
        <v>690</v>
      </c>
      <c r="M647" s="141"/>
      <c r="N647" s="144" t="s">
        <v>691</v>
      </c>
      <c r="O647" s="144"/>
      <c r="P647" s="144"/>
      <c r="Q647" s="144"/>
      <c r="R647" s="221">
        <f>2025+819.377+1109.434</f>
        <v>3953.8109999999997</v>
      </c>
      <c r="S647" s="222"/>
      <c r="T647" s="63"/>
      <c r="X647" s="67"/>
    </row>
    <row r="648" spans="1:24" ht="51.75" customHeight="1">
      <c r="A648" s="39"/>
      <c r="B648" s="33"/>
      <c r="C648" s="41"/>
      <c r="D648" s="161" t="s">
        <v>176</v>
      </c>
      <c r="E648" s="162"/>
      <c r="F648" s="162"/>
      <c r="G648" s="162"/>
      <c r="H648" s="162"/>
      <c r="I648" s="162"/>
      <c r="J648" s="162"/>
      <c r="K648" s="163"/>
      <c r="L648" s="140" t="s">
        <v>690</v>
      </c>
      <c r="M648" s="141"/>
      <c r="N648" s="303" t="s">
        <v>359</v>
      </c>
      <c r="O648" s="304"/>
      <c r="P648" s="304"/>
      <c r="Q648" s="305"/>
      <c r="R648" s="221">
        <v>214.563</v>
      </c>
      <c r="S648" s="222"/>
      <c r="T648" s="63"/>
      <c r="X648" s="67"/>
    </row>
    <row r="649" spans="1:24" ht="36.75" customHeight="1">
      <c r="A649" s="39"/>
      <c r="B649" s="33"/>
      <c r="C649" s="41"/>
      <c r="D649" s="161" t="s">
        <v>173</v>
      </c>
      <c r="E649" s="162"/>
      <c r="F649" s="162"/>
      <c r="G649" s="162"/>
      <c r="H649" s="162"/>
      <c r="I649" s="162"/>
      <c r="J649" s="162"/>
      <c r="K649" s="163"/>
      <c r="L649" s="140" t="s">
        <v>690</v>
      </c>
      <c r="M649" s="141"/>
      <c r="N649" s="306"/>
      <c r="O649" s="307"/>
      <c r="P649" s="307"/>
      <c r="Q649" s="308"/>
      <c r="R649" s="221">
        <f>140+80-10.36306</f>
        <v>209.63694</v>
      </c>
      <c r="S649" s="222"/>
      <c r="T649" s="63"/>
      <c r="X649" s="67"/>
    </row>
    <row r="650" spans="1:24" ht="20.25" customHeight="1">
      <c r="A650" s="39"/>
      <c r="B650" s="33"/>
      <c r="C650" s="41"/>
      <c r="D650" s="161" t="s">
        <v>174</v>
      </c>
      <c r="E650" s="162"/>
      <c r="F650" s="162"/>
      <c r="G650" s="162"/>
      <c r="H650" s="162"/>
      <c r="I650" s="162"/>
      <c r="J650" s="162"/>
      <c r="K650" s="163"/>
      <c r="L650" s="140" t="s">
        <v>690</v>
      </c>
      <c r="M650" s="141"/>
      <c r="N650" s="306"/>
      <c r="O650" s="307"/>
      <c r="P650" s="307"/>
      <c r="Q650" s="308"/>
      <c r="R650" s="322">
        <f>552.668-30</f>
        <v>522.668</v>
      </c>
      <c r="S650" s="323"/>
      <c r="T650" s="63"/>
      <c r="X650" s="67"/>
    </row>
    <row r="651" spans="1:24" ht="20.25" customHeight="1">
      <c r="A651" s="39"/>
      <c r="B651" s="33"/>
      <c r="C651" s="41"/>
      <c r="D651" s="161" t="s">
        <v>175</v>
      </c>
      <c r="E651" s="162"/>
      <c r="F651" s="162"/>
      <c r="G651" s="162"/>
      <c r="H651" s="162"/>
      <c r="I651" s="162"/>
      <c r="J651" s="162"/>
      <c r="K651" s="163"/>
      <c r="L651" s="140" t="s">
        <v>690</v>
      </c>
      <c r="M651" s="141"/>
      <c r="N651" s="309"/>
      <c r="O651" s="310"/>
      <c r="P651" s="310"/>
      <c r="Q651" s="311"/>
      <c r="R651" s="322">
        <f>392.591+84.475</f>
        <v>477.06600000000003</v>
      </c>
      <c r="S651" s="323"/>
      <c r="T651" s="63"/>
      <c r="X651" s="67"/>
    </row>
    <row r="652" spans="1:24" ht="34.5" customHeight="1">
      <c r="A652" s="39"/>
      <c r="B652" s="33"/>
      <c r="C652" s="41"/>
      <c r="D652" s="161" t="s">
        <v>45</v>
      </c>
      <c r="E652" s="162"/>
      <c r="F652" s="162"/>
      <c r="G652" s="162"/>
      <c r="H652" s="162"/>
      <c r="I652" s="162"/>
      <c r="J652" s="162"/>
      <c r="K652" s="163"/>
      <c r="L652" s="140" t="s">
        <v>690</v>
      </c>
      <c r="M652" s="141"/>
      <c r="N652" s="144" t="s">
        <v>691</v>
      </c>
      <c r="O652" s="144"/>
      <c r="P652" s="144"/>
      <c r="Q652" s="144"/>
      <c r="R652" s="290">
        <v>11.5</v>
      </c>
      <c r="S652" s="291"/>
      <c r="T652" s="63"/>
      <c r="X652" s="67"/>
    </row>
    <row r="653" spans="1:24" ht="18.75" customHeight="1">
      <c r="A653" s="39"/>
      <c r="B653" s="30"/>
      <c r="C653" s="30"/>
      <c r="D653" s="181" t="s">
        <v>693</v>
      </c>
      <c r="E653" s="182"/>
      <c r="F653" s="182"/>
      <c r="G653" s="182"/>
      <c r="H653" s="182"/>
      <c r="I653" s="182"/>
      <c r="J653" s="182"/>
      <c r="K653" s="182"/>
      <c r="L653" s="140"/>
      <c r="M653" s="141"/>
      <c r="N653" s="144"/>
      <c r="O653" s="144"/>
      <c r="P653" s="144"/>
      <c r="Q653" s="144"/>
      <c r="R653" s="144"/>
      <c r="S653" s="144"/>
      <c r="T653" s="63"/>
      <c r="X653" s="67"/>
    </row>
    <row r="654" spans="1:24" ht="18.75" customHeight="1">
      <c r="A654" s="39"/>
      <c r="B654" s="30"/>
      <c r="C654" s="30"/>
      <c r="D654" s="143" t="s">
        <v>108</v>
      </c>
      <c r="E654" s="143"/>
      <c r="F654" s="143"/>
      <c r="G654" s="143"/>
      <c r="H654" s="143"/>
      <c r="I654" s="143"/>
      <c r="J654" s="143"/>
      <c r="K654" s="143"/>
      <c r="L654" s="140" t="s">
        <v>737</v>
      </c>
      <c r="M654" s="141"/>
      <c r="N654" s="144" t="s">
        <v>742</v>
      </c>
      <c r="O654" s="144"/>
      <c r="P654" s="144"/>
      <c r="Q654" s="144"/>
      <c r="R654" s="382">
        <f>3+2-1+4+3</f>
        <v>11</v>
      </c>
      <c r="S654" s="383"/>
      <c r="T654" s="63"/>
      <c r="X654" s="67"/>
    </row>
    <row r="655" spans="1:24" ht="18.75" customHeight="1">
      <c r="A655" s="39"/>
      <c r="B655" s="30"/>
      <c r="C655" s="30"/>
      <c r="D655" s="143" t="s">
        <v>291</v>
      </c>
      <c r="E655" s="143"/>
      <c r="F655" s="143"/>
      <c r="G655" s="143"/>
      <c r="H655" s="143"/>
      <c r="I655" s="143"/>
      <c r="J655" s="143"/>
      <c r="K655" s="143"/>
      <c r="L655" s="140" t="s">
        <v>737</v>
      </c>
      <c r="M655" s="141"/>
      <c r="N655" s="144" t="s">
        <v>691</v>
      </c>
      <c r="O655" s="144"/>
      <c r="P655" s="144"/>
      <c r="Q655" s="144"/>
      <c r="R655" s="380">
        <v>3</v>
      </c>
      <c r="S655" s="381"/>
      <c r="T655" s="63"/>
      <c r="X655" s="67"/>
    </row>
    <row r="656" spans="1:24" ht="22.5" customHeight="1">
      <c r="A656" s="39"/>
      <c r="B656" s="30"/>
      <c r="C656" s="30"/>
      <c r="D656" s="143" t="s">
        <v>110</v>
      </c>
      <c r="E656" s="143"/>
      <c r="F656" s="143"/>
      <c r="G656" s="143"/>
      <c r="H656" s="143"/>
      <c r="I656" s="143"/>
      <c r="J656" s="143"/>
      <c r="K656" s="143"/>
      <c r="L656" s="140" t="s">
        <v>737</v>
      </c>
      <c r="M656" s="141"/>
      <c r="N656" s="144" t="s">
        <v>691</v>
      </c>
      <c r="O656" s="144"/>
      <c r="P656" s="144"/>
      <c r="Q656" s="144"/>
      <c r="R656" s="386">
        <f>2+8-2</f>
        <v>8</v>
      </c>
      <c r="S656" s="386"/>
      <c r="T656" s="63"/>
      <c r="X656" s="67"/>
    </row>
    <row r="657" spans="1:24" ht="23.25" customHeight="1">
      <c r="A657" s="39"/>
      <c r="B657" s="30"/>
      <c r="C657" s="30"/>
      <c r="D657" s="143" t="s">
        <v>46</v>
      </c>
      <c r="E657" s="143"/>
      <c r="F657" s="143"/>
      <c r="G657" s="143"/>
      <c r="H657" s="143"/>
      <c r="I657" s="143"/>
      <c r="J657" s="143"/>
      <c r="K657" s="143"/>
      <c r="L657" s="140" t="s">
        <v>737</v>
      </c>
      <c r="M657" s="141"/>
      <c r="N657" s="144" t="s">
        <v>543</v>
      </c>
      <c r="O657" s="144"/>
      <c r="P657" s="144"/>
      <c r="Q657" s="144"/>
      <c r="R657" s="380">
        <v>1</v>
      </c>
      <c r="S657" s="381"/>
      <c r="T657" s="63"/>
      <c r="X657" s="67"/>
    </row>
    <row r="658" spans="1:24" ht="20.25" customHeight="1">
      <c r="A658" s="39"/>
      <c r="B658" s="30"/>
      <c r="C658" s="30"/>
      <c r="D658" s="181" t="s">
        <v>694</v>
      </c>
      <c r="E658" s="182"/>
      <c r="F658" s="182"/>
      <c r="G658" s="182"/>
      <c r="H658" s="182"/>
      <c r="I658" s="182"/>
      <c r="J658" s="182"/>
      <c r="K658" s="182"/>
      <c r="L658" s="140"/>
      <c r="M658" s="141"/>
      <c r="N658" s="144"/>
      <c r="O658" s="144"/>
      <c r="P658" s="144"/>
      <c r="Q658" s="144"/>
      <c r="R658" s="144"/>
      <c r="S658" s="144"/>
      <c r="T658" s="63"/>
      <c r="X658" s="67"/>
    </row>
    <row r="659" spans="1:24" ht="18.75" customHeight="1">
      <c r="A659" s="39"/>
      <c r="B659" s="30"/>
      <c r="C659" s="30"/>
      <c r="D659" s="166" t="s">
        <v>89</v>
      </c>
      <c r="E659" s="167"/>
      <c r="F659" s="167"/>
      <c r="G659" s="167"/>
      <c r="H659" s="167"/>
      <c r="I659" s="167"/>
      <c r="J659" s="167"/>
      <c r="K659" s="168"/>
      <c r="L659" s="140" t="s">
        <v>690</v>
      </c>
      <c r="M659" s="141"/>
      <c r="N659" s="140" t="s">
        <v>603</v>
      </c>
      <c r="O659" s="142"/>
      <c r="P659" s="142"/>
      <c r="Q659" s="141"/>
      <c r="R659" s="288">
        <f>R644/1</f>
        <v>300</v>
      </c>
      <c r="S659" s="289"/>
      <c r="T659" s="107">
        <f>R659*2</f>
        <v>600</v>
      </c>
      <c r="X659" s="67"/>
    </row>
    <row r="660" spans="1:24" ht="36" customHeight="1">
      <c r="A660" s="39"/>
      <c r="B660" s="30"/>
      <c r="C660" s="30"/>
      <c r="D660" s="166" t="s">
        <v>743</v>
      </c>
      <c r="E660" s="167"/>
      <c r="F660" s="167"/>
      <c r="G660" s="167"/>
      <c r="H660" s="167"/>
      <c r="I660" s="167"/>
      <c r="J660" s="167"/>
      <c r="K660" s="168"/>
      <c r="L660" s="140" t="s">
        <v>690</v>
      </c>
      <c r="M660" s="141"/>
      <c r="N660" s="140" t="s">
        <v>603</v>
      </c>
      <c r="O660" s="142"/>
      <c r="P660" s="142"/>
      <c r="Q660" s="141"/>
      <c r="R660" s="384">
        <f>R643/R655</f>
        <v>108.27000000000002</v>
      </c>
      <c r="S660" s="385"/>
      <c r="T660" s="107">
        <f>R660*R655</f>
        <v>324.81000000000006</v>
      </c>
      <c r="X660" s="67"/>
    </row>
    <row r="661" spans="1:24" ht="18.75" customHeight="1">
      <c r="A661" s="39"/>
      <c r="B661" s="30"/>
      <c r="C661" s="30"/>
      <c r="D661" s="166" t="s">
        <v>744</v>
      </c>
      <c r="E661" s="167"/>
      <c r="F661" s="167"/>
      <c r="G661" s="167"/>
      <c r="H661" s="167"/>
      <c r="I661" s="167"/>
      <c r="J661" s="167"/>
      <c r="K661" s="168"/>
      <c r="L661" s="140" t="s">
        <v>690</v>
      </c>
      <c r="M661" s="141"/>
      <c r="N661" s="140" t="s">
        <v>603</v>
      </c>
      <c r="O661" s="142"/>
      <c r="P661" s="142"/>
      <c r="Q661" s="141"/>
      <c r="R661" s="384">
        <f>(R645+R646+R647+R648+R649+R650+R651)/(3+4)</f>
        <v>1740.1228485714287</v>
      </c>
      <c r="S661" s="385"/>
      <c r="T661" s="107">
        <f>R661*7</f>
        <v>12180.85994</v>
      </c>
      <c r="X661" s="67"/>
    </row>
    <row r="662" spans="1:24" ht="18.75" customHeight="1">
      <c r="A662" s="39"/>
      <c r="B662" s="30"/>
      <c r="C662" s="30"/>
      <c r="D662" s="166" t="s">
        <v>190</v>
      </c>
      <c r="E662" s="167"/>
      <c r="F662" s="167"/>
      <c r="G662" s="167"/>
      <c r="H662" s="167"/>
      <c r="I662" s="167"/>
      <c r="J662" s="167"/>
      <c r="K662" s="168"/>
      <c r="L662" s="140" t="s">
        <v>690</v>
      </c>
      <c r="M662" s="141"/>
      <c r="N662" s="140" t="s">
        <v>603</v>
      </c>
      <c r="O662" s="142"/>
      <c r="P662" s="142"/>
      <c r="Q662" s="141"/>
      <c r="R662" s="384">
        <f>R652/R657</f>
        <v>11.5</v>
      </c>
      <c r="S662" s="385"/>
      <c r="T662" s="108">
        <f>R662</f>
        <v>11.5</v>
      </c>
      <c r="X662" s="67"/>
    </row>
    <row r="663" spans="1:24" ht="21" customHeight="1">
      <c r="A663" s="39"/>
      <c r="B663" s="30"/>
      <c r="C663" s="30"/>
      <c r="D663" s="181" t="s">
        <v>697</v>
      </c>
      <c r="E663" s="182"/>
      <c r="F663" s="182"/>
      <c r="G663" s="182"/>
      <c r="H663" s="182"/>
      <c r="I663" s="182"/>
      <c r="J663" s="182"/>
      <c r="K663" s="182"/>
      <c r="L663" s="140"/>
      <c r="M663" s="141"/>
      <c r="N663" s="144"/>
      <c r="O663" s="144"/>
      <c r="P663" s="144"/>
      <c r="Q663" s="144"/>
      <c r="R663" s="144"/>
      <c r="S663" s="144"/>
      <c r="T663" s="107"/>
      <c r="X663" s="67"/>
    </row>
    <row r="664" spans="1:24" ht="33.75" customHeight="1">
      <c r="A664" s="39"/>
      <c r="B664" s="30"/>
      <c r="C664" s="30"/>
      <c r="D664" s="143" t="s">
        <v>491</v>
      </c>
      <c r="E664" s="143"/>
      <c r="F664" s="143"/>
      <c r="G664" s="143"/>
      <c r="H664" s="143"/>
      <c r="I664" s="143"/>
      <c r="J664" s="143"/>
      <c r="K664" s="143"/>
      <c r="L664" s="144" t="s">
        <v>696</v>
      </c>
      <c r="M664" s="144"/>
      <c r="N664" s="140" t="s">
        <v>603</v>
      </c>
      <c r="O664" s="142"/>
      <c r="P664" s="142"/>
      <c r="Q664" s="141"/>
      <c r="R664" s="189">
        <f>R655/5*100</f>
        <v>60</v>
      </c>
      <c r="S664" s="189"/>
      <c r="T664" s="63"/>
      <c r="X664" s="67"/>
    </row>
    <row r="665" spans="1:24" ht="37.5" customHeight="1">
      <c r="A665" s="39"/>
      <c r="B665" s="30"/>
      <c r="C665" s="30"/>
      <c r="D665" s="143" t="s">
        <v>487</v>
      </c>
      <c r="E665" s="143"/>
      <c r="F665" s="143"/>
      <c r="G665" s="143"/>
      <c r="H665" s="143"/>
      <c r="I665" s="143"/>
      <c r="J665" s="143"/>
      <c r="K665" s="143"/>
      <c r="L665" s="144" t="s">
        <v>696</v>
      </c>
      <c r="M665" s="144"/>
      <c r="N665" s="140" t="s">
        <v>603</v>
      </c>
      <c r="O665" s="142"/>
      <c r="P665" s="142"/>
      <c r="Q665" s="141"/>
      <c r="R665" s="189">
        <v>100</v>
      </c>
      <c r="S665" s="189"/>
      <c r="T665" s="63"/>
      <c r="X665" s="67"/>
    </row>
    <row r="666" spans="1:20" ht="12.75" customHeight="1">
      <c r="A666" s="39"/>
      <c r="B666" s="39"/>
      <c r="C666" s="39"/>
      <c r="D666" s="25"/>
      <c r="E666" s="25"/>
      <c r="F666" s="25"/>
      <c r="G666" s="25"/>
      <c r="H666" s="25"/>
      <c r="I666" s="25"/>
      <c r="J666" s="25"/>
      <c r="K666" s="25"/>
      <c r="L666" s="56"/>
      <c r="M666" s="56"/>
      <c r="N666" s="56"/>
      <c r="O666" s="56"/>
      <c r="P666" s="56"/>
      <c r="Q666" s="56"/>
      <c r="R666" s="68"/>
      <c r="S666" s="68"/>
      <c r="T666" s="63"/>
    </row>
    <row r="667" spans="1:2" ht="24" customHeight="1">
      <c r="A667" s="26" t="s">
        <v>42</v>
      </c>
      <c r="B667" s="21" t="s">
        <v>112</v>
      </c>
    </row>
    <row r="669" spans="2:20" ht="65.25" customHeight="1">
      <c r="B669" s="174" t="s">
        <v>699</v>
      </c>
      <c r="C669" s="174" t="s">
        <v>700</v>
      </c>
      <c r="D669" s="174"/>
      <c r="E669" s="174"/>
      <c r="F669" s="174"/>
      <c r="G669" s="174"/>
      <c r="H669" s="174" t="s">
        <v>721</v>
      </c>
      <c r="I669" s="144" t="s">
        <v>232</v>
      </c>
      <c r="J669" s="144"/>
      <c r="K669" s="144"/>
      <c r="L669" s="219" t="s">
        <v>734</v>
      </c>
      <c r="M669" s="219"/>
      <c r="N669" s="219"/>
      <c r="O669" s="219" t="s">
        <v>111</v>
      </c>
      <c r="P669" s="219"/>
      <c r="Q669" s="219"/>
      <c r="R669" s="219" t="s">
        <v>701</v>
      </c>
      <c r="S669" s="219"/>
      <c r="T669" s="219"/>
    </row>
    <row r="670" spans="2:20" ht="38.25" customHeight="1">
      <c r="B670" s="174"/>
      <c r="C670" s="174"/>
      <c r="D670" s="174"/>
      <c r="E670" s="174"/>
      <c r="F670" s="174"/>
      <c r="G670" s="174"/>
      <c r="H670" s="174"/>
      <c r="I670" s="49" t="s">
        <v>684</v>
      </c>
      <c r="J670" s="50" t="s">
        <v>685</v>
      </c>
      <c r="K670" s="50" t="s">
        <v>226</v>
      </c>
      <c r="L670" s="49" t="s">
        <v>684</v>
      </c>
      <c r="M670" s="50" t="s">
        <v>685</v>
      </c>
      <c r="N670" s="50" t="s">
        <v>226</v>
      </c>
      <c r="O670" s="49" t="s">
        <v>684</v>
      </c>
      <c r="P670" s="50" t="s">
        <v>685</v>
      </c>
      <c r="Q670" s="50" t="s">
        <v>226</v>
      </c>
      <c r="R670" s="219"/>
      <c r="S670" s="219"/>
      <c r="T670" s="219"/>
    </row>
    <row r="671" spans="2:20" ht="15" customHeight="1">
      <c r="B671" s="43">
        <v>1</v>
      </c>
      <c r="C671" s="220">
        <v>2</v>
      </c>
      <c r="D671" s="220"/>
      <c r="E671" s="220"/>
      <c r="F671" s="220"/>
      <c r="G671" s="220"/>
      <c r="H671" s="43">
        <v>3</v>
      </c>
      <c r="I671" s="38">
        <v>4</v>
      </c>
      <c r="J671" s="54">
        <v>5</v>
      </c>
      <c r="K671" s="54">
        <v>6</v>
      </c>
      <c r="L671" s="38">
        <v>7</v>
      </c>
      <c r="M671" s="54">
        <v>8</v>
      </c>
      <c r="N671" s="54">
        <v>9</v>
      </c>
      <c r="O671" s="38">
        <v>10</v>
      </c>
      <c r="P671" s="54">
        <v>11</v>
      </c>
      <c r="Q671" s="54">
        <v>12</v>
      </c>
      <c r="R671" s="218">
        <v>13</v>
      </c>
      <c r="S671" s="218"/>
      <c r="T671" s="218"/>
    </row>
    <row r="672" spans="2:20" ht="16.5" customHeight="1">
      <c r="B672" s="47"/>
      <c r="C672" s="217" t="s">
        <v>673</v>
      </c>
      <c r="D672" s="217"/>
      <c r="E672" s="217"/>
      <c r="F672" s="217"/>
      <c r="G672" s="217"/>
      <c r="H672" s="60"/>
      <c r="I672" s="48"/>
      <c r="J672" s="48"/>
      <c r="K672" s="47"/>
      <c r="L672" s="47"/>
      <c r="M672" s="47"/>
      <c r="N672" s="47"/>
      <c r="O672" s="47"/>
      <c r="P672" s="47"/>
      <c r="Q672" s="47"/>
      <c r="R672" s="216"/>
      <c r="S672" s="216"/>
      <c r="T672" s="216"/>
    </row>
    <row r="673" spans="2:20" ht="17.25" customHeight="1">
      <c r="B673" s="47"/>
      <c r="C673" s="217" t="s">
        <v>674</v>
      </c>
      <c r="D673" s="217"/>
      <c r="E673" s="217"/>
      <c r="F673" s="217"/>
      <c r="G673" s="217"/>
      <c r="H673" s="60"/>
      <c r="I673" s="47"/>
      <c r="J673" s="47"/>
      <c r="K673" s="47"/>
      <c r="L673" s="47"/>
      <c r="M673" s="47"/>
      <c r="N673" s="47"/>
      <c r="O673" s="47"/>
      <c r="P673" s="47"/>
      <c r="Q673" s="47"/>
      <c r="R673" s="216"/>
      <c r="S673" s="216"/>
      <c r="T673" s="216"/>
    </row>
    <row r="674" spans="2:20" ht="16.5" customHeight="1">
      <c r="B674" s="47"/>
      <c r="C674" s="217" t="s">
        <v>675</v>
      </c>
      <c r="D674" s="217"/>
      <c r="E674" s="217"/>
      <c r="F674" s="217"/>
      <c r="G674" s="217"/>
      <c r="H674" s="60"/>
      <c r="I674" s="47"/>
      <c r="J674" s="47"/>
      <c r="K674" s="47"/>
      <c r="L674" s="47"/>
      <c r="M674" s="47"/>
      <c r="N674" s="47"/>
      <c r="O674" s="47"/>
      <c r="P674" s="47"/>
      <c r="Q674" s="47"/>
      <c r="R674" s="216"/>
      <c r="S674" s="216"/>
      <c r="T674" s="216"/>
    </row>
    <row r="675" spans="2:20" ht="18" customHeight="1">
      <c r="B675" s="47"/>
      <c r="C675" s="217" t="s">
        <v>702</v>
      </c>
      <c r="D675" s="217"/>
      <c r="E675" s="217"/>
      <c r="F675" s="217"/>
      <c r="G675" s="217"/>
      <c r="H675" s="60"/>
      <c r="I675" s="33" t="s">
        <v>735</v>
      </c>
      <c r="J675" s="33"/>
      <c r="K675" s="33"/>
      <c r="L675" s="33" t="s">
        <v>735</v>
      </c>
      <c r="M675" s="33"/>
      <c r="N675" s="33"/>
      <c r="O675" s="33" t="s">
        <v>735</v>
      </c>
      <c r="P675" s="47"/>
      <c r="Q675" s="47"/>
      <c r="R675" s="216"/>
      <c r="S675" s="216"/>
      <c r="T675" s="216"/>
    </row>
    <row r="676" spans="2:20" ht="15" customHeight="1">
      <c r="B676" s="47"/>
      <c r="C676" s="217" t="s">
        <v>676</v>
      </c>
      <c r="D676" s="217"/>
      <c r="E676" s="217"/>
      <c r="F676" s="217"/>
      <c r="G676" s="217"/>
      <c r="H676" s="60"/>
      <c r="I676" s="47"/>
      <c r="J676" s="47"/>
      <c r="K676" s="47"/>
      <c r="L676" s="47"/>
      <c r="M676" s="47"/>
      <c r="N676" s="47"/>
      <c r="O676" s="47"/>
      <c r="P676" s="47"/>
      <c r="Q676" s="47"/>
      <c r="R676" s="216"/>
      <c r="S676" s="216"/>
      <c r="T676" s="216"/>
    </row>
    <row r="677" spans="2:20" ht="16.5" customHeight="1">
      <c r="B677" s="47"/>
      <c r="C677" s="217" t="s">
        <v>677</v>
      </c>
      <c r="D677" s="217"/>
      <c r="E677" s="217"/>
      <c r="F677" s="217"/>
      <c r="G677" s="217"/>
      <c r="H677" s="60"/>
      <c r="I677" s="47"/>
      <c r="J677" s="47"/>
      <c r="K677" s="47"/>
      <c r="L677" s="47"/>
      <c r="M677" s="47"/>
      <c r="N677" s="47"/>
      <c r="O677" s="47"/>
      <c r="P677" s="47"/>
      <c r="Q677" s="47"/>
      <c r="R677" s="216"/>
      <c r="S677" s="216"/>
      <c r="T677" s="216"/>
    </row>
    <row r="678" spans="2:20" ht="15.75">
      <c r="B678" s="47"/>
      <c r="C678" s="217" t="s">
        <v>676</v>
      </c>
      <c r="D678" s="217"/>
      <c r="E678" s="217"/>
      <c r="F678" s="217"/>
      <c r="G678" s="217"/>
      <c r="H678" s="60"/>
      <c r="I678" s="47"/>
      <c r="J678" s="47"/>
      <c r="K678" s="47"/>
      <c r="L678" s="47"/>
      <c r="M678" s="47"/>
      <c r="N678" s="47"/>
      <c r="O678" s="47"/>
      <c r="P678" s="47"/>
      <c r="Q678" s="47"/>
      <c r="R678" s="216"/>
      <c r="S678" s="216"/>
      <c r="T678" s="216"/>
    </row>
    <row r="679" spans="2:20" ht="15.75">
      <c r="B679" s="47"/>
      <c r="C679" s="217" t="s">
        <v>678</v>
      </c>
      <c r="D679" s="217"/>
      <c r="E679" s="217"/>
      <c r="F679" s="217"/>
      <c r="G679" s="217"/>
      <c r="H679" s="60"/>
      <c r="I679" s="47"/>
      <c r="J679" s="47"/>
      <c r="K679" s="47"/>
      <c r="L679" s="47"/>
      <c r="M679" s="47"/>
      <c r="N679" s="47"/>
      <c r="O679" s="47"/>
      <c r="P679" s="47"/>
      <c r="Q679" s="47"/>
      <c r="R679" s="216"/>
      <c r="S679" s="216"/>
      <c r="T679" s="216"/>
    </row>
    <row r="682" ht="18">
      <c r="A682" s="51" t="s">
        <v>227</v>
      </c>
    </row>
    <row r="683" ht="18">
      <c r="A683" s="51" t="s">
        <v>228</v>
      </c>
    </row>
    <row r="684" ht="18">
      <c r="A684" s="51" t="s">
        <v>229</v>
      </c>
    </row>
    <row r="687" spans="1:14" ht="18.75">
      <c r="A687" s="21" t="str">
        <f>'6020'!A207</f>
        <v>Начальник управління житлово-комунального господарства</v>
      </c>
      <c r="B687" s="53"/>
      <c r="C687" s="53"/>
      <c r="D687" s="53"/>
      <c r="E687" s="53"/>
      <c r="F687" s="53"/>
      <c r="G687" s="64"/>
      <c r="H687" s="64"/>
      <c r="I687" s="36"/>
      <c r="J687" s="36"/>
      <c r="K687" s="36"/>
      <c r="L687" s="36"/>
      <c r="M687" s="36"/>
      <c r="N687" s="36"/>
    </row>
    <row r="688" spans="1:15" ht="15.75">
      <c r="A688" s="45" t="s">
        <v>644</v>
      </c>
      <c r="B688" s="45"/>
      <c r="C688" s="45"/>
      <c r="D688" s="45"/>
      <c r="I688" s="226"/>
      <c r="J688" s="226"/>
      <c r="L688" s="225" t="s">
        <v>762</v>
      </c>
      <c r="M688" s="225"/>
      <c r="N688" s="225"/>
      <c r="O688" s="225"/>
    </row>
    <row r="689" spans="1:15" ht="11.25" customHeight="1">
      <c r="A689" s="45"/>
      <c r="B689" s="45"/>
      <c r="C689" s="45"/>
      <c r="D689" s="45"/>
      <c r="I689" s="224" t="s">
        <v>703</v>
      </c>
      <c r="J689" s="224"/>
      <c r="L689" s="224" t="s">
        <v>230</v>
      </c>
      <c r="M689" s="224"/>
      <c r="N689" s="224"/>
      <c r="O689" s="224"/>
    </row>
    <row r="691" spans="1:8" ht="15.75">
      <c r="A691" s="21" t="s">
        <v>689</v>
      </c>
      <c r="G691" s="36"/>
      <c r="H691" s="36"/>
    </row>
    <row r="692" spans="1:15" ht="15.75">
      <c r="A692" s="21" t="s">
        <v>233</v>
      </c>
      <c r="I692" s="226"/>
      <c r="J692" s="226"/>
      <c r="K692" s="36"/>
      <c r="L692" s="225" t="s">
        <v>643</v>
      </c>
      <c r="M692" s="225"/>
      <c r="N692" s="225"/>
      <c r="O692" s="225"/>
    </row>
    <row r="693" spans="9:15" ht="11.25">
      <c r="I693" s="224" t="s">
        <v>703</v>
      </c>
      <c r="J693" s="224"/>
      <c r="L693" s="224" t="s">
        <v>230</v>
      </c>
      <c r="M693" s="224"/>
      <c r="N693" s="224"/>
      <c r="O693" s="224"/>
    </row>
  </sheetData>
  <sheetProtection/>
  <mergeCells count="2354">
    <mergeCell ref="D616:K616"/>
    <mergeCell ref="D606:K606"/>
    <mergeCell ref="L601:M601"/>
    <mergeCell ref="D602:K602"/>
    <mergeCell ref="N603:Q603"/>
    <mergeCell ref="D613:K613"/>
    <mergeCell ref="L615:M615"/>
    <mergeCell ref="R619:S619"/>
    <mergeCell ref="L619:M619"/>
    <mergeCell ref="D619:K619"/>
    <mergeCell ref="L608:M608"/>
    <mergeCell ref="D445:K445"/>
    <mergeCell ref="D611:K611"/>
    <mergeCell ref="L605:M605"/>
    <mergeCell ref="D608:K608"/>
    <mergeCell ref="N615:Q615"/>
    <mergeCell ref="D614:K614"/>
    <mergeCell ref="D433:K433"/>
    <mergeCell ref="D610:K610"/>
    <mergeCell ref="R173:S173"/>
    <mergeCell ref="N198:Q198"/>
    <mergeCell ref="D184:K184"/>
    <mergeCell ref="D174:K174"/>
    <mergeCell ref="R189:S189"/>
    <mergeCell ref="D395:K395"/>
    <mergeCell ref="R462:S462"/>
    <mergeCell ref="D162:K162"/>
    <mergeCell ref="L219:M219"/>
    <mergeCell ref="L159:M159"/>
    <mergeCell ref="D455:K455"/>
    <mergeCell ref="D413:K413"/>
    <mergeCell ref="D206:K206"/>
    <mergeCell ref="D173:K173"/>
    <mergeCell ref="L206:M206"/>
    <mergeCell ref="D161:K161"/>
    <mergeCell ref="D160:K160"/>
    <mergeCell ref="D600:K600"/>
    <mergeCell ref="L163:M163"/>
    <mergeCell ref="D624:K624"/>
    <mergeCell ref="L621:M621"/>
    <mergeCell ref="R623:S623"/>
    <mergeCell ref="D626:K626"/>
    <mergeCell ref="D617:K617"/>
    <mergeCell ref="D615:K615"/>
    <mergeCell ref="N619:Q619"/>
    <mergeCell ref="L620:M620"/>
    <mergeCell ref="L627:M627"/>
    <mergeCell ref="D627:K627"/>
    <mergeCell ref="D621:K621"/>
    <mergeCell ref="L626:M626"/>
    <mergeCell ref="L622:M622"/>
    <mergeCell ref="R625:S625"/>
    <mergeCell ref="N620:Q620"/>
    <mergeCell ref="R149:S149"/>
    <mergeCell ref="R144:S144"/>
    <mergeCell ref="R147:S147"/>
    <mergeCell ref="R168:S168"/>
    <mergeCell ref="R396:S396"/>
    <mergeCell ref="R459:S459"/>
    <mergeCell ref="R161:S161"/>
    <mergeCell ref="R439:S439"/>
    <mergeCell ref="R620:S620"/>
    <mergeCell ref="R431:S431"/>
    <mergeCell ref="R413:S413"/>
    <mergeCell ref="R160:S160"/>
    <mergeCell ref="N160:Q160"/>
    <mergeCell ref="N125:Q125"/>
    <mergeCell ref="N126:Q126"/>
    <mergeCell ref="R159:S159"/>
    <mergeCell ref="N161:Q161"/>
    <mergeCell ref="R125:S125"/>
    <mergeCell ref="R126:S126"/>
    <mergeCell ref="R137:S137"/>
    <mergeCell ref="N146:Q146"/>
    <mergeCell ref="L468:M468"/>
    <mergeCell ref="R443:S443"/>
    <mergeCell ref="R455:S455"/>
    <mergeCell ref="N461:Q461"/>
    <mergeCell ref="L441:M441"/>
    <mergeCell ref="R457:S457"/>
    <mergeCell ref="N457:Q457"/>
    <mergeCell ref="R456:S456"/>
    <mergeCell ref="R451:S451"/>
    <mergeCell ref="R450:S450"/>
    <mergeCell ref="R162:S162"/>
    <mergeCell ref="N388:Q388"/>
    <mergeCell ref="N167:Q167"/>
    <mergeCell ref="R163:S163"/>
    <mergeCell ref="N433:Q433"/>
    <mergeCell ref="R415:S415"/>
    <mergeCell ref="D425:S425"/>
    <mergeCell ref="D183:K183"/>
    <mergeCell ref="L128:M128"/>
    <mergeCell ref="L151:M151"/>
    <mergeCell ref="R154:S154"/>
    <mergeCell ref="R152:S152"/>
    <mergeCell ref="N151:Q151"/>
    <mergeCell ref="R420:S420"/>
    <mergeCell ref="L161:M161"/>
    <mergeCell ref="L160:M160"/>
    <mergeCell ref="N162:Q162"/>
    <mergeCell ref="R128:S128"/>
    <mergeCell ref="N123:Q123"/>
    <mergeCell ref="N128:Q128"/>
    <mergeCell ref="L166:M166"/>
    <mergeCell ref="L130:M130"/>
    <mergeCell ref="L168:M168"/>
    <mergeCell ref="N169:Q169"/>
    <mergeCell ref="L167:M167"/>
    <mergeCell ref="L165:M165"/>
    <mergeCell ref="N130:Q130"/>
    <mergeCell ref="N143:Q143"/>
    <mergeCell ref="N416:Q416"/>
    <mergeCell ref="L390:M390"/>
    <mergeCell ref="L140:M140"/>
    <mergeCell ref="L143:M143"/>
    <mergeCell ref="L141:M141"/>
    <mergeCell ref="L196:M196"/>
    <mergeCell ref="N163:Q163"/>
    <mergeCell ref="L398:M398"/>
    <mergeCell ref="N413:Q413"/>
    <mergeCell ref="N402:Q402"/>
    <mergeCell ref="N135:Q135"/>
    <mergeCell ref="L162:M162"/>
    <mergeCell ref="L148:M148"/>
    <mergeCell ref="N148:Q148"/>
    <mergeCell ref="R454:S454"/>
    <mergeCell ref="N453:Q453"/>
    <mergeCell ref="R448:S448"/>
    <mergeCell ref="L449:M449"/>
    <mergeCell ref="L431:M431"/>
    <mergeCell ref="R452:S452"/>
    <mergeCell ref="D414:K414"/>
    <mergeCell ref="L418:M418"/>
    <mergeCell ref="R419:S419"/>
    <mergeCell ref="N419:Q419"/>
    <mergeCell ref="R418:S418"/>
    <mergeCell ref="D430:K430"/>
    <mergeCell ref="D419:K419"/>
    <mergeCell ref="D428:K428"/>
    <mergeCell ref="R427:S427"/>
    <mergeCell ref="N427:Q427"/>
    <mergeCell ref="N451:Q451"/>
    <mergeCell ref="R449:S449"/>
    <mergeCell ref="N450:Q450"/>
    <mergeCell ref="D452:K452"/>
    <mergeCell ref="D441:K441"/>
    <mergeCell ref="D429:K429"/>
    <mergeCell ref="R429:S429"/>
    <mergeCell ref="R441:S441"/>
    <mergeCell ref="R440:S440"/>
    <mergeCell ref="R433:S433"/>
    <mergeCell ref="D462:K462"/>
    <mergeCell ref="L433:M433"/>
    <mergeCell ref="L461:M461"/>
    <mergeCell ref="L450:M450"/>
    <mergeCell ref="D426:K426"/>
    <mergeCell ref="L427:M427"/>
    <mergeCell ref="L428:M428"/>
    <mergeCell ref="L426:M426"/>
    <mergeCell ref="L460:M460"/>
    <mergeCell ref="D459:K459"/>
    <mergeCell ref="L419:M419"/>
    <mergeCell ref="L422:M422"/>
    <mergeCell ref="L420:M420"/>
    <mergeCell ref="R581:S581"/>
    <mergeCell ref="R461:S461"/>
    <mergeCell ref="N415:Q415"/>
    <mergeCell ref="R460:S460"/>
    <mergeCell ref="R434:S434"/>
    <mergeCell ref="R432:S432"/>
    <mergeCell ref="R444:S444"/>
    <mergeCell ref="N456:Q456"/>
    <mergeCell ref="N454:Q454"/>
    <mergeCell ref="R453:S453"/>
    <mergeCell ref="N449:Q449"/>
    <mergeCell ref="D570:S570"/>
    <mergeCell ref="L430:M430"/>
    <mergeCell ref="R435:S435"/>
    <mergeCell ref="R430:S430"/>
    <mergeCell ref="R445:S445"/>
    <mergeCell ref="R446:S446"/>
    <mergeCell ref="D579:K579"/>
    <mergeCell ref="L579:M579"/>
    <mergeCell ref="D563:K563"/>
    <mergeCell ref="D565:K565"/>
    <mergeCell ref="L434:M434"/>
    <mergeCell ref="D549:K549"/>
    <mergeCell ref="D553:K553"/>
    <mergeCell ref="D468:K468"/>
    <mergeCell ref="L559:M559"/>
    <mergeCell ref="L456:M456"/>
    <mergeCell ref="R436:S436"/>
    <mergeCell ref="L438:M438"/>
    <mergeCell ref="L436:M436"/>
    <mergeCell ref="N436:Q436"/>
    <mergeCell ref="D444:K444"/>
    <mergeCell ref="N437:Q437"/>
    <mergeCell ref="R437:S437"/>
    <mergeCell ref="D443:K443"/>
    <mergeCell ref="D436:K436"/>
    <mergeCell ref="D439:K439"/>
    <mergeCell ref="L554:M554"/>
    <mergeCell ref="L435:M435"/>
    <mergeCell ref="R438:S438"/>
    <mergeCell ref="D412:S412"/>
    <mergeCell ref="N396:Q396"/>
    <mergeCell ref="L396:M396"/>
    <mergeCell ref="R406:S406"/>
    <mergeCell ref="R402:S402"/>
    <mergeCell ref="R397:S397"/>
    <mergeCell ref="R410:S410"/>
    <mergeCell ref="R398:S398"/>
    <mergeCell ref="D398:K398"/>
    <mergeCell ref="L407:M407"/>
    <mergeCell ref="R407:S407"/>
    <mergeCell ref="R403:S403"/>
    <mergeCell ref="N403:Q403"/>
    <mergeCell ref="R404:S404"/>
    <mergeCell ref="N407:Q407"/>
    <mergeCell ref="R405:S405"/>
    <mergeCell ref="L405:M405"/>
    <mergeCell ref="D400:K400"/>
    <mergeCell ref="L394:M394"/>
    <mergeCell ref="D392:K392"/>
    <mergeCell ref="D397:K397"/>
    <mergeCell ref="D394:K394"/>
    <mergeCell ref="N398:Q398"/>
    <mergeCell ref="D396:K396"/>
    <mergeCell ref="D399:K399"/>
    <mergeCell ref="R388:S388"/>
    <mergeCell ref="R389:S389"/>
    <mergeCell ref="D388:K388"/>
    <mergeCell ref="D390:K390"/>
    <mergeCell ref="N390:Q390"/>
    <mergeCell ref="N392:Q392"/>
    <mergeCell ref="L389:M389"/>
    <mergeCell ref="L391:M391"/>
    <mergeCell ref="D389:K389"/>
    <mergeCell ref="N389:Q389"/>
    <mergeCell ref="R393:S393"/>
    <mergeCell ref="L395:M395"/>
    <mergeCell ref="R392:S392"/>
    <mergeCell ref="R395:S395"/>
    <mergeCell ref="D393:K393"/>
    <mergeCell ref="D391:K391"/>
    <mergeCell ref="R394:S394"/>
    <mergeCell ref="L392:M392"/>
    <mergeCell ref="R391:S391"/>
    <mergeCell ref="R400:S400"/>
    <mergeCell ref="N399:Q399"/>
    <mergeCell ref="N395:Q395"/>
    <mergeCell ref="L393:M393"/>
    <mergeCell ref="N393:Q393"/>
    <mergeCell ref="N394:Q394"/>
    <mergeCell ref="N397:Q397"/>
    <mergeCell ref="R399:S399"/>
    <mergeCell ref="L397:M397"/>
    <mergeCell ref="L399:M399"/>
    <mergeCell ref="D407:K407"/>
    <mergeCell ref="D403:K403"/>
    <mergeCell ref="L403:M403"/>
    <mergeCell ref="D402:K402"/>
    <mergeCell ref="D404:K404"/>
    <mergeCell ref="D401:K401"/>
    <mergeCell ref="L401:M401"/>
    <mergeCell ref="L406:M406"/>
    <mergeCell ref="D427:K427"/>
    <mergeCell ref="R428:S428"/>
    <mergeCell ref="L415:M415"/>
    <mergeCell ref="R417:S417"/>
    <mergeCell ref="L410:M410"/>
    <mergeCell ref="L416:M416"/>
    <mergeCell ref="N401:Q401"/>
    <mergeCell ref="N404:Q404"/>
    <mergeCell ref="N429:Q429"/>
    <mergeCell ref="R416:S416"/>
    <mergeCell ref="N428:Q428"/>
    <mergeCell ref="N426:Q426"/>
    <mergeCell ref="R423:S423"/>
    <mergeCell ref="L402:M402"/>
    <mergeCell ref="L404:M404"/>
    <mergeCell ref="N409:Q409"/>
    <mergeCell ref="N405:Q405"/>
    <mergeCell ref="R409:S409"/>
    <mergeCell ref="R371:S371"/>
    <mergeCell ref="L379:M379"/>
    <mergeCell ref="L374:M374"/>
    <mergeCell ref="N377:Q377"/>
    <mergeCell ref="R386:S386"/>
    <mergeCell ref="N379:Q379"/>
    <mergeCell ref="L375:M375"/>
    <mergeCell ref="N382:Q382"/>
    <mergeCell ref="N386:Q386"/>
    <mergeCell ref="R378:S378"/>
    <mergeCell ref="N378:Q378"/>
    <mergeCell ref="R377:S377"/>
    <mergeCell ref="R376:S376"/>
    <mergeCell ref="R374:S374"/>
    <mergeCell ref="R373:S373"/>
    <mergeCell ref="R372:S372"/>
    <mergeCell ref="R375:S375"/>
    <mergeCell ref="L377:M377"/>
    <mergeCell ref="L373:M373"/>
    <mergeCell ref="L372:M372"/>
    <mergeCell ref="L376:M376"/>
    <mergeCell ref="L369:M369"/>
    <mergeCell ref="N373:Q373"/>
    <mergeCell ref="N372:Q372"/>
    <mergeCell ref="N376:Q376"/>
    <mergeCell ref="L371:M371"/>
    <mergeCell ref="N374:Q374"/>
    <mergeCell ref="L382:M382"/>
    <mergeCell ref="L384:M384"/>
    <mergeCell ref="D385:K385"/>
    <mergeCell ref="L386:M386"/>
    <mergeCell ref="D382:K382"/>
    <mergeCell ref="D384:K384"/>
    <mergeCell ref="L383:M383"/>
    <mergeCell ref="D386:K386"/>
    <mergeCell ref="L359:M359"/>
    <mergeCell ref="N363:Q363"/>
    <mergeCell ref="L363:M363"/>
    <mergeCell ref="N364:Q364"/>
    <mergeCell ref="L361:M361"/>
    <mergeCell ref="L364:M364"/>
    <mergeCell ref="L360:M360"/>
    <mergeCell ref="R364:S364"/>
    <mergeCell ref="R366:S366"/>
    <mergeCell ref="R365:S365"/>
    <mergeCell ref="N345:Q345"/>
    <mergeCell ref="N348:Q348"/>
    <mergeCell ref="R356:S356"/>
    <mergeCell ref="N357:Q357"/>
    <mergeCell ref="R355:S355"/>
    <mergeCell ref="N346:Q346"/>
    <mergeCell ref="N359:Q359"/>
    <mergeCell ref="R352:S352"/>
    <mergeCell ref="N353:Q353"/>
    <mergeCell ref="R353:S353"/>
    <mergeCell ref="R362:S362"/>
    <mergeCell ref="R354:S354"/>
    <mergeCell ref="N354:Q354"/>
    <mergeCell ref="N361:Q361"/>
    <mergeCell ref="N362:Q362"/>
    <mergeCell ref="R357:S357"/>
    <mergeCell ref="N381:Q381"/>
    <mergeCell ref="R390:S390"/>
    <mergeCell ref="R385:S385"/>
    <mergeCell ref="N384:Q384"/>
    <mergeCell ref="R348:S348"/>
    <mergeCell ref="N355:Q355"/>
    <mergeCell ref="R351:S351"/>
    <mergeCell ref="R349:S349"/>
    <mergeCell ref="N349:Q349"/>
    <mergeCell ref="R387:S387"/>
    <mergeCell ref="N568:Q568"/>
    <mergeCell ref="D577:K577"/>
    <mergeCell ref="N571:Q571"/>
    <mergeCell ref="L571:M571"/>
    <mergeCell ref="R571:S571"/>
    <mergeCell ref="N572:Q572"/>
    <mergeCell ref="R572:S572"/>
    <mergeCell ref="L572:M572"/>
    <mergeCell ref="D572:K572"/>
    <mergeCell ref="N577:Q577"/>
    <mergeCell ref="L578:M578"/>
    <mergeCell ref="N576:Q576"/>
    <mergeCell ref="R573:S573"/>
    <mergeCell ref="D576:K576"/>
    <mergeCell ref="R575:S575"/>
    <mergeCell ref="R576:S576"/>
    <mergeCell ref="D578:K578"/>
    <mergeCell ref="L553:M553"/>
    <mergeCell ref="N553:Q553"/>
    <mergeCell ref="R588:S588"/>
    <mergeCell ref="R592:S592"/>
    <mergeCell ref="R589:S589"/>
    <mergeCell ref="D583:S583"/>
    <mergeCell ref="N563:Q563"/>
    <mergeCell ref="D556:S556"/>
    <mergeCell ref="D557:K557"/>
    <mergeCell ref="N581:Q581"/>
    <mergeCell ref="R551:S551"/>
    <mergeCell ref="N530:Q530"/>
    <mergeCell ref="D561:K561"/>
    <mergeCell ref="D535:K535"/>
    <mergeCell ref="N541:Q541"/>
    <mergeCell ref="D543:K543"/>
    <mergeCell ref="N537:Q537"/>
    <mergeCell ref="R554:S554"/>
    <mergeCell ref="N557:Q557"/>
    <mergeCell ref="R559:S559"/>
    <mergeCell ref="R537:S537"/>
    <mergeCell ref="N549:Q549"/>
    <mergeCell ref="L549:M549"/>
    <mergeCell ref="L550:M550"/>
    <mergeCell ref="L551:M551"/>
    <mergeCell ref="L564:M564"/>
    <mergeCell ref="R557:S557"/>
    <mergeCell ref="N560:Q560"/>
    <mergeCell ref="N554:Q554"/>
    <mergeCell ref="N550:Q550"/>
    <mergeCell ref="N509:Q509"/>
    <mergeCell ref="R526:S526"/>
    <mergeCell ref="R527:S527"/>
    <mergeCell ref="R540:S540"/>
    <mergeCell ref="R547:S547"/>
    <mergeCell ref="R553:S553"/>
    <mergeCell ref="R550:S550"/>
    <mergeCell ref="R530:S530"/>
    <mergeCell ref="R535:S535"/>
    <mergeCell ref="R533:S533"/>
    <mergeCell ref="D466:K466"/>
    <mergeCell ref="N515:Q515"/>
    <mergeCell ref="N508:Q508"/>
    <mergeCell ref="N526:Q526"/>
    <mergeCell ref="N510:Q510"/>
    <mergeCell ref="N516:Q516"/>
    <mergeCell ref="L510:M510"/>
    <mergeCell ref="N512:Q512"/>
    <mergeCell ref="L515:M515"/>
    <mergeCell ref="N517:Q517"/>
    <mergeCell ref="R368:S368"/>
    <mergeCell ref="L486:M486"/>
    <mergeCell ref="L483:M483"/>
    <mergeCell ref="D487:K487"/>
    <mergeCell ref="D470:K470"/>
    <mergeCell ref="L466:M466"/>
    <mergeCell ref="D467:K467"/>
    <mergeCell ref="L485:M485"/>
    <mergeCell ref="D472:K472"/>
    <mergeCell ref="L471:M471"/>
    <mergeCell ref="R367:S367"/>
    <mergeCell ref="N347:Q347"/>
    <mergeCell ref="N356:Q356"/>
    <mergeCell ref="R380:S380"/>
    <mergeCell ref="R379:S379"/>
    <mergeCell ref="N383:Q383"/>
    <mergeCell ref="N380:Q380"/>
    <mergeCell ref="R360:S360"/>
    <mergeCell ref="R369:S369"/>
    <mergeCell ref="R363:S363"/>
    <mergeCell ref="R341:S341"/>
    <mergeCell ref="R361:S361"/>
    <mergeCell ref="R343:S343"/>
    <mergeCell ref="R384:S384"/>
    <mergeCell ref="N385:Q385"/>
    <mergeCell ref="R381:S381"/>
    <mergeCell ref="R382:S382"/>
    <mergeCell ref="R344:S344"/>
    <mergeCell ref="R359:S359"/>
    <mergeCell ref="N360:Q360"/>
    <mergeCell ref="N339:Q339"/>
    <mergeCell ref="N343:Q343"/>
    <mergeCell ref="R340:S340"/>
    <mergeCell ref="R350:S350"/>
    <mergeCell ref="N350:Q350"/>
    <mergeCell ref="R342:S342"/>
    <mergeCell ref="R346:S346"/>
    <mergeCell ref="R347:S347"/>
    <mergeCell ref="R345:S345"/>
    <mergeCell ref="N344:Q344"/>
    <mergeCell ref="R337:S337"/>
    <mergeCell ref="N341:Q341"/>
    <mergeCell ref="R334:S334"/>
    <mergeCell ref="N337:Q337"/>
    <mergeCell ref="R338:S338"/>
    <mergeCell ref="N335:Q335"/>
    <mergeCell ref="R336:S336"/>
    <mergeCell ref="N336:Q336"/>
    <mergeCell ref="R339:S339"/>
    <mergeCell ref="R335:S335"/>
    <mergeCell ref="L332:M332"/>
    <mergeCell ref="N331:Q331"/>
    <mergeCell ref="L331:M331"/>
    <mergeCell ref="L334:M334"/>
    <mergeCell ref="N338:Q338"/>
    <mergeCell ref="N452:Q452"/>
    <mergeCell ref="N400:Q400"/>
    <mergeCell ref="N342:Q342"/>
    <mergeCell ref="N340:Q340"/>
    <mergeCell ref="L337:M337"/>
    <mergeCell ref="L330:M330"/>
    <mergeCell ref="N333:Q333"/>
    <mergeCell ref="L385:M385"/>
    <mergeCell ref="N391:Q391"/>
    <mergeCell ref="L353:M353"/>
    <mergeCell ref="L354:M354"/>
    <mergeCell ref="N351:Q351"/>
    <mergeCell ref="N334:Q334"/>
    <mergeCell ref="L342:M342"/>
    <mergeCell ref="L335:M335"/>
    <mergeCell ref="R447:S447"/>
    <mergeCell ref="R358:S358"/>
    <mergeCell ref="N358:Q358"/>
    <mergeCell ref="R426:S426"/>
    <mergeCell ref="N375:Q375"/>
    <mergeCell ref="N352:Q352"/>
    <mergeCell ref="N367:Q367"/>
    <mergeCell ref="R383:S383"/>
    <mergeCell ref="D424:S424"/>
    <mergeCell ref="L352:M352"/>
    <mergeCell ref="R509:S509"/>
    <mergeCell ref="R544:S544"/>
    <mergeCell ref="R516:S516"/>
    <mergeCell ref="R529:S529"/>
    <mergeCell ref="R522:S522"/>
    <mergeCell ref="R515:S515"/>
    <mergeCell ref="R510:S510"/>
    <mergeCell ref="R541:S541"/>
    <mergeCell ref="R531:S531"/>
    <mergeCell ref="R518:S518"/>
    <mergeCell ref="R332:S332"/>
    <mergeCell ref="R333:S333"/>
    <mergeCell ref="R331:S331"/>
    <mergeCell ref="R328:S328"/>
    <mergeCell ref="R326:S326"/>
    <mergeCell ref="R329:S329"/>
    <mergeCell ref="R330:S330"/>
    <mergeCell ref="R327:S327"/>
    <mergeCell ref="R317:S317"/>
    <mergeCell ref="N306:Q306"/>
    <mergeCell ref="N304:Q304"/>
    <mergeCell ref="R308:S308"/>
    <mergeCell ref="R316:S316"/>
    <mergeCell ref="N313:Q313"/>
    <mergeCell ref="R312:S312"/>
    <mergeCell ref="R310:S310"/>
    <mergeCell ref="R307:S307"/>
    <mergeCell ref="N301:Q301"/>
    <mergeCell ref="L302:M302"/>
    <mergeCell ref="D302:K302"/>
    <mergeCell ref="L304:M304"/>
    <mergeCell ref="L303:M303"/>
    <mergeCell ref="N298:Q298"/>
    <mergeCell ref="N300:Q300"/>
    <mergeCell ref="N303:Q303"/>
    <mergeCell ref="L295:M295"/>
    <mergeCell ref="L296:M296"/>
    <mergeCell ref="D295:K295"/>
    <mergeCell ref="D300:K300"/>
    <mergeCell ref="D299:K299"/>
    <mergeCell ref="D304:K304"/>
    <mergeCell ref="D291:K291"/>
    <mergeCell ref="D290:K290"/>
    <mergeCell ref="L289:M289"/>
    <mergeCell ref="L291:M291"/>
    <mergeCell ref="D294:K294"/>
    <mergeCell ref="D292:K292"/>
    <mergeCell ref="L294:M294"/>
    <mergeCell ref="D293:K293"/>
    <mergeCell ref="D289:K289"/>
    <mergeCell ref="L292:M292"/>
    <mergeCell ref="R291:S291"/>
    <mergeCell ref="N294:Q294"/>
    <mergeCell ref="L293:M293"/>
    <mergeCell ref="N293:Q293"/>
    <mergeCell ref="R294:S294"/>
    <mergeCell ref="R289:S289"/>
    <mergeCell ref="R290:S290"/>
    <mergeCell ref="R293:S293"/>
    <mergeCell ref="L290:M290"/>
    <mergeCell ref="R292:S292"/>
    <mergeCell ref="R284:S284"/>
    <mergeCell ref="N284:Q284"/>
    <mergeCell ref="R287:S287"/>
    <mergeCell ref="R286:S286"/>
    <mergeCell ref="R288:S288"/>
    <mergeCell ref="L288:M288"/>
    <mergeCell ref="N288:Q288"/>
    <mergeCell ref="D287:K287"/>
    <mergeCell ref="D288:K288"/>
    <mergeCell ref="D284:K284"/>
    <mergeCell ref="L285:M285"/>
    <mergeCell ref="D285:K285"/>
    <mergeCell ref="L287:M287"/>
    <mergeCell ref="D283:K283"/>
    <mergeCell ref="L286:M286"/>
    <mergeCell ref="L284:M284"/>
    <mergeCell ref="L283:M283"/>
    <mergeCell ref="D282:K282"/>
    <mergeCell ref="D286:K286"/>
    <mergeCell ref="D279:K279"/>
    <mergeCell ref="D281:S281"/>
    <mergeCell ref="L279:M279"/>
    <mergeCell ref="R279:S279"/>
    <mergeCell ref="N279:Q279"/>
    <mergeCell ref="D280:S280"/>
    <mergeCell ref="D275:K275"/>
    <mergeCell ref="N276:Q276"/>
    <mergeCell ref="N273:Q273"/>
    <mergeCell ref="D276:K276"/>
    <mergeCell ref="L276:M276"/>
    <mergeCell ref="D278:K278"/>
    <mergeCell ref="D274:K274"/>
    <mergeCell ref="D273:K273"/>
    <mergeCell ref="N261:Q261"/>
    <mergeCell ref="R271:S271"/>
    <mergeCell ref="L271:M271"/>
    <mergeCell ref="N278:Q278"/>
    <mergeCell ref="L278:M278"/>
    <mergeCell ref="N272:Q272"/>
    <mergeCell ref="L275:M275"/>
    <mergeCell ref="L272:M272"/>
    <mergeCell ref="L263:M263"/>
    <mergeCell ref="N174:Q174"/>
    <mergeCell ref="R176:S176"/>
    <mergeCell ref="N194:Q194"/>
    <mergeCell ref="R198:S198"/>
    <mergeCell ref="L266:M266"/>
    <mergeCell ref="N255:Q255"/>
    <mergeCell ref="L254:M254"/>
    <mergeCell ref="L262:M262"/>
    <mergeCell ref="L239:M239"/>
    <mergeCell ref="N230:Q230"/>
    <mergeCell ref="D177:K177"/>
    <mergeCell ref="N172:Q172"/>
    <mergeCell ref="L170:M170"/>
    <mergeCell ref="L181:M181"/>
    <mergeCell ref="L176:M176"/>
    <mergeCell ref="L179:M179"/>
    <mergeCell ref="L180:M180"/>
    <mergeCell ref="L175:M175"/>
    <mergeCell ref="L173:M173"/>
    <mergeCell ref="L172:M172"/>
    <mergeCell ref="D166:K166"/>
    <mergeCell ref="D163:K163"/>
    <mergeCell ref="D165:K165"/>
    <mergeCell ref="D167:K167"/>
    <mergeCell ref="D168:K168"/>
    <mergeCell ref="N170:Q170"/>
    <mergeCell ref="D164:K164"/>
    <mergeCell ref="L169:M169"/>
    <mergeCell ref="L164:M164"/>
    <mergeCell ref="N166:Q166"/>
    <mergeCell ref="R254:S254"/>
    <mergeCell ref="R249:S249"/>
    <mergeCell ref="D182:K182"/>
    <mergeCell ref="D175:K175"/>
    <mergeCell ref="L177:M177"/>
    <mergeCell ref="D181:K181"/>
    <mergeCell ref="D198:K198"/>
    <mergeCell ref="L198:M198"/>
    <mergeCell ref="L178:M178"/>
    <mergeCell ref="D180:K180"/>
    <mergeCell ref="R240:S240"/>
    <mergeCell ref="R248:S248"/>
    <mergeCell ref="R205:S205"/>
    <mergeCell ref="R206:S206"/>
    <mergeCell ref="R208:S208"/>
    <mergeCell ref="N219:Q219"/>
    <mergeCell ref="R218:S218"/>
    <mergeCell ref="R211:S211"/>
    <mergeCell ref="R221:S221"/>
    <mergeCell ref="N218:Q218"/>
    <mergeCell ref="L265:M265"/>
    <mergeCell ref="N264:Q264"/>
    <mergeCell ref="R309:S309"/>
    <mergeCell ref="L300:M300"/>
    <mergeCell ref="R320:S320"/>
    <mergeCell ref="R318:S318"/>
    <mergeCell ref="R306:S306"/>
    <mergeCell ref="N265:Q265"/>
    <mergeCell ref="L264:M264"/>
    <mergeCell ref="L282:M282"/>
    <mergeCell ref="N263:Q263"/>
    <mergeCell ref="N271:Q271"/>
    <mergeCell ref="N268:Q268"/>
    <mergeCell ref="L269:M269"/>
    <mergeCell ref="N269:Q269"/>
    <mergeCell ref="L267:M267"/>
    <mergeCell ref="L270:M270"/>
    <mergeCell ref="N266:Q266"/>
    <mergeCell ref="N267:Q267"/>
    <mergeCell ref="N270:Q270"/>
    <mergeCell ref="N184:Q184"/>
    <mergeCell ref="R213:S213"/>
    <mergeCell ref="N205:Q205"/>
    <mergeCell ref="N193:Q193"/>
    <mergeCell ref="N206:Q206"/>
    <mergeCell ref="N186:Q186"/>
    <mergeCell ref="R190:S190"/>
    <mergeCell ref="R209:S209"/>
    <mergeCell ref="R207:S207"/>
    <mergeCell ref="N211:Q211"/>
    <mergeCell ref="R165:S165"/>
    <mergeCell ref="N171:Q171"/>
    <mergeCell ref="R196:S196"/>
    <mergeCell ref="R204:S204"/>
    <mergeCell ref="R191:S191"/>
    <mergeCell ref="R201:S201"/>
    <mergeCell ref="R170:S170"/>
    <mergeCell ref="R166:S166"/>
    <mergeCell ref="N168:Q168"/>
    <mergeCell ref="N195:Q195"/>
    <mergeCell ref="L155:M155"/>
    <mergeCell ref="R172:S172"/>
    <mergeCell ref="N164:Q164"/>
    <mergeCell ref="L152:M152"/>
    <mergeCell ref="L171:M171"/>
    <mergeCell ref="N118:Q118"/>
    <mergeCell ref="R136:S136"/>
    <mergeCell ref="R132:S132"/>
    <mergeCell ref="L120:M120"/>
    <mergeCell ref="L121:M121"/>
    <mergeCell ref="L153:M153"/>
    <mergeCell ref="R148:S148"/>
    <mergeCell ref="N147:Q147"/>
    <mergeCell ref="N139:Q139"/>
    <mergeCell ref="N129:Q129"/>
    <mergeCell ref="N137:Q137"/>
    <mergeCell ref="N131:Q131"/>
    <mergeCell ref="L132:M132"/>
    <mergeCell ref="R135:S135"/>
    <mergeCell ref="R139:S139"/>
    <mergeCell ref="R84:S84"/>
    <mergeCell ref="M74:N74"/>
    <mergeCell ref="M71:N71"/>
    <mergeCell ref="O71:P71"/>
    <mergeCell ref="K72:L72"/>
    <mergeCell ref="M72:N72"/>
    <mergeCell ref="K71:L71"/>
    <mergeCell ref="O72:P72"/>
    <mergeCell ref="D189:K189"/>
    <mergeCell ref="D187:K187"/>
    <mergeCell ref="B71:H71"/>
    <mergeCell ref="L131:M131"/>
    <mergeCell ref="D170:K170"/>
    <mergeCell ref="D171:K171"/>
    <mergeCell ref="D172:K172"/>
    <mergeCell ref="M73:N73"/>
    <mergeCell ref="D82:S82"/>
    <mergeCell ref="R90:S90"/>
    <mergeCell ref="D196:K196"/>
    <mergeCell ref="L195:M195"/>
    <mergeCell ref="L192:M192"/>
    <mergeCell ref="D193:K193"/>
    <mergeCell ref="D192:K192"/>
    <mergeCell ref="L184:M184"/>
    <mergeCell ref="D190:K190"/>
    <mergeCell ref="D188:K188"/>
    <mergeCell ref="D191:K191"/>
    <mergeCell ref="D185:K185"/>
    <mergeCell ref="R210:S210"/>
    <mergeCell ref="D205:K205"/>
    <mergeCell ref="L194:M194"/>
    <mergeCell ref="D201:K201"/>
    <mergeCell ref="L200:M200"/>
    <mergeCell ref="D194:K194"/>
    <mergeCell ref="D202:S202"/>
    <mergeCell ref="N200:Q200"/>
    <mergeCell ref="N197:Q197"/>
    <mergeCell ref="R197:S197"/>
    <mergeCell ref="N220:Q220"/>
    <mergeCell ref="N221:Q221"/>
    <mergeCell ref="N215:Q215"/>
    <mergeCell ref="N217:Q217"/>
    <mergeCell ref="R217:S217"/>
    <mergeCell ref="L211:M211"/>
    <mergeCell ref="L214:M214"/>
    <mergeCell ref="L215:M215"/>
    <mergeCell ref="R233:S233"/>
    <mergeCell ref="R236:S236"/>
    <mergeCell ref="R234:S234"/>
    <mergeCell ref="R235:S235"/>
    <mergeCell ref="R223:S223"/>
    <mergeCell ref="L223:M223"/>
    <mergeCell ref="N222:Q222"/>
    <mergeCell ref="N214:Q214"/>
    <mergeCell ref="D215:K215"/>
    <mergeCell ref="D219:K219"/>
    <mergeCell ref="R230:S230"/>
    <mergeCell ref="D229:K229"/>
    <mergeCell ref="D222:K222"/>
    <mergeCell ref="R216:S216"/>
    <mergeCell ref="R215:S215"/>
    <mergeCell ref="R219:S219"/>
    <mergeCell ref="D246:K246"/>
    <mergeCell ref="D225:K225"/>
    <mergeCell ref="N241:Q241"/>
    <mergeCell ref="N225:Q225"/>
    <mergeCell ref="N236:Q236"/>
    <mergeCell ref="N237:Q237"/>
    <mergeCell ref="D235:K235"/>
    <mergeCell ref="N229:Q229"/>
    <mergeCell ref="N240:Q240"/>
    <mergeCell ref="R246:S246"/>
    <mergeCell ref="L250:M250"/>
    <mergeCell ref="R244:S244"/>
    <mergeCell ref="R250:S250"/>
    <mergeCell ref="N239:Q239"/>
    <mergeCell ref="R222:S222"/>
    <mergeCell ref="L226:M226"/>
    <mergeCell ref="L233:M233"/>
    <mergeCell ref="R232:S232"/>
    <mergeCell ref="D227:S227"/>
    <mergeCell ref="L247:M247"/>
    <mergeCell ref="D245:K245"/>
    <mergeCell ref="L246:M246"/>
    <mergeCell ref="N257:Q257"/>
    <mergeCell ref="L257:M257"/>
    <mergeCell ref="L231:M231"/>
    <mergeCell ref="N231:Q231"/>
    <mergeCell ref="N247:Q247"/>
    <mergeCell ref="D250:K250"/>
    <mergeCell ref="D248:K248"/>
    <mergeCell ref="N246:Q246"/>
    <mergeCell ref="D239:K239"/>
    <mergeCell ref="D241:K241"/>
    <mergeCell ref="L251:M251"/>
    <mergeCell ref="D247:K247"/>
    <mergeCell ref="L249:M249"/>
    <mergeCell ref="D249:K249"/>
    <mergeCell ref="D251:K251"/>
    <mergeCell ref="L243:M243"/>
    <mergeCell ref="L245:M245"/>
    <mergeCell ref="N245:Q245"/>
    <mergeCell ref="N244:Q244"/>
    <mergeCell ref="D244:K244"/>
    <mergeCell ref="D238:K238"/>
    <mergeCell ref="D240:K240"/>
    <mergeCell ref="L242:M242"/>
    <mergeCell ref="R258:S258"/>
    <mergeCell ref="N258:Q258"/>
    <mergeCell ref="N256:Q256"/>
    <mergeCell ref="R243:S243"/>
    <mergeCell ref="N251:Q251"/>
    <mergeCell ref="N252:Q252"/>
    <mergeCell ref="R251:S251"/>
    <mergeCell ref="R252:S252"/>
    <mergeCell ref="R247:S247"/>
    <mergeCell ref="R245:S245"/>
    <mergeCell ref="R264:S264"/>
    <mergeCell ref="R263:S263"/>
    <mergeCell ref="R259:S259"/>
    <mergeCell ref="R253:S253"/>
    <mergeCell ref="R256:S256"/>
    <mergeCell ref="N262:Q262"/>
    <mergeCell ref="N260:Q260"/>
    <mergeCell ref="N253:Q253"/>
    <mergeCell ref="R262:S262"/>
    <mergeCell ref="N259:Q259"/>
    <mergeCell ref="D265:K265"/>
    <mergeCell ref="D268:K268"/>
    <mergeCell ref="D269:K269"/>
    <mergeCell ref="D272:K272"/>
    <mergeCell ref="D271:K271"/>
    <mergeCell ref="D266:K266"/>
    <mergeCell ref="D267:K267"/>
    <mergeCell ref="D263:K263"/>
    <mergeCell ref="L261:M261"/>
    <mergeCell ref="L259:M259"/>
    <mergeCell ref="D270:K270"/>
    <mergeCell ref="D257:K257"/>
    <mergeCell ref="D256:K256"/>
    <mergeCell ref="D264:K264"/>
    <mergeCell ref="D261:K261"/>
    <mergeCell ref="D260:K260"/>
    <mergeCell ref="L268:M268"/>
    <mergeCell ref="D262:K262"/>
    <mergeCell ref="D259:K259"/>
    <mergeCell ref="D258:K258"/>
    <mergeCell ref="D252:K252"/>
    <mergeCell ref="D253:K253"/>
    <mergeCell ref="L253:M253"/>
    <mergeCell ref="L256:M256"/>
    <mergeCell ref="D255:K255"/>
    <mergeCell ref="D254:K254"/>
    <mergeCell ref="N248:Q248"/>
    <mergeCell ref="L255:M255"/>
    <mergeCell ref="L260:M260"/>
    <mergeCell ref="L252:M252"/>
    <mergeCell ref="N254:Q254"/>
    <mergeCell ref="L248:M248"/>
    <mergeCell ref="N249:Q249"/>
    <mergeCell ref="L258:M258"/>
    <mergeCell ref="N250:Q250"/>
    <mergeCell ref="L244:M244"/>
    <mergeCell ref="D242:K242"/>
    <mergeCell ref="D243:K243"/>
    <mergeCell ref="N235:Q235"/>
    <mergeCell ref="L238:M238"/>
    <mergeCell ref="L240:M240"/>
    <mergeCell ref="D236:K236"/>
    <mergeCell ref="N242:Q242"/>
    <mergeCell ref="D233:K233"/>
    <mergeCell ref="L237:M237"/>
    <mergeCell ref="D234:K234"/>
    <mergeCell ref="L235:M235"/>
    <mergeCell ref="D232:K232"/>
    <mergeCell ref="D226:K226"/>
    <mergeCell ref="D237:K237"/>
    <mergeCell ref="L234:M234"/>
    <mergeCell ref="D228:S228"/>
    <mergeCell ref="R229:S229"/>
    <mergeCell ref="D220:K220"/>
    <mergeCell ref="D211:K211"/>
    <mergeCell ref="D213:K213"/>
    <mergeCell ref="L216:M216"/>
    <mergeCell ref="L222:M222"/>
    <mergeCell ref="L220:M220"/>
    <mergeCell ref="D218:K218"/>
    <mergeCell ref="D221:K221"/>
    <mergeCell ref="L213:M213"/>
    <mergeCell ref="D195:K195"/>
    <mergeCell ref="D197:K197"/>
    <mergeCell ref="L207:M207"/>
    <mergeCell ref="L197:M197"/>
    <mergeCell ref="D212:K212"/>
    <mergeCell ref="R214:S214"/>
    <mergeCell ref="R212:S212"/>
    <mergeCell ref="N213:Q213"/>
    <mergeCell ref="N212:Q212"/>
    <mergeCell ref="D210:K210"/>
    <mergeCell ref="N196:Q196"/>
    <mergeCell ref="N201:Q201"/>
    <mergeCell ref="N210:Q210"/>
    <mergeCell ref="D214:K214"/>
    <mergeCell ref="L217:M217"/>
    <mergeCell ref="N216:Q216"/>
    <mergeCell ref="D204:K204"/>
    <mergeCell ref="N207:Q207"/>
    <mergeCell ref="N208:Q208"/>
    <mergeCell ref="L209:M209"/>
    <mergeCell ref="L81:M81"/>
    <mergeCell ref="D86:K86"/>
    <mergeCell ref="L100:M100"/>
    <mergeCell ref="L107:M107"/>
    <mergeCell ref="D101:K101"/>
    <mergeCell ref="L102:M102"/>
    <mergeCell ref="D102:K102"/>
    <mergeCell ref="D83:S83"/>
    <mergeCell ref="D89:K89"/>
    <mergeCell ref="D85:K85"/>
    <mergeCell ref="D87:K87"/>
    <mergeCell ref="L84:M84"/>
    <mergeCell ref="D84:K84"/>
    <mergeCell ref="N84:Q84"/>
    <mergeCell ref="N87:Q87"/>
    <mergeCell ref="L85:M85"/>
    <mergeCell ref="N85:Q85"/>
    <mergeCell ref="R85:S85"/>
    <mergeCell ref="N119:Q119"/>
    <mergeCell ref="N136:Q136"/>
    <mergeCell ref="R127:S127"/>
    <mergeCell ref="R130:S130"/>
    <mergeCell ref="R131:S131"/>
    <mergeCell ref="R129:S129"/>
    <mergeCell ref="N132:Q132"/>
    <mergeCell ref="N134:Q134"/>
    <mergeCell ref="N127:Q127"/>
    <mergeCell ref="D81:K81"/>
    <mergeCell ref="R80:S80"/>
    <mergeCell ref="B76:H76"/>
    <mergeCell ref="D90:K90"/>
    <mergeCell ref="L90:M90"/>
    <mergeCell ref="N89:Q89"/>
    <mergeCell ref="R81:S81"/>
    <mergeCell ref="N81:Q81"/>
    <mergeCell ref="I76:J76"/>
    <mergeCell ref="R89:S89"/>
    <mergeCell ref="O76:P76"/>
    <mergeCell ref="K76:L76"/>
    <mergeCell ref="M76:N76"/>
    <mergeCell ref="L80:M80"/>
    <mergeCell ref="N80:Q80"/>
    <mergeCell ref="I73:J73"/>
    <mergeCell ref="O75:P75"/>
    <mergeCell ref="D80:K80"/>
    <mergeCell ref="B73:H73"/>
    <mergeCell ref="B75:H75"/>
    <mergeCell ref="I75:J75"/>
    <mergeCell ref="B74:H74"/>
    <mergeCell ref="K74:L74"/>
    <mergeCell ref="O73:P73"/>
    <mergeCell ref="K73:L73"/>
    <mergeCell ref="S65:T65"/>
    <mergeCell ref="Q65:R65"/>
    <mergeCell ref="O65:P65"/>
    <mergeCell ref="Q66:R66"/>
    <mergeCell ref="B72:H72"/>
    <mergeCell ref="E65:N65"/>
    <mergeCell ref="I72:J72"/>
    <mergeCell ref="S59:T59"/>
    <mergeCell ref="S60:T60"/>
    <mergeCell ref="Q61:R61"/>
    <mergeCell ref="S61:T61"/>
    <mergeCell ref="Q59:R59"/>
    <mergeCell ref="S64:T64"/>
    <mergeCell ref="O70:P70"/>
    <mergeCell ref="K70:L70"/>
    <mergeCell ref="O63:P63"/>
    <mergeCell ref="E61:N61"/>
    <mergeCell ref="Q60:R60"/>
    <mergeCell ref="S62:T62"/>
    <mergeCell ref="S63:T63"/>
    <mergeCell ref="E62:N62"/>
    <mergeCell ref="Q63:R63"/>
    <mergeCell ref="Q62:R62"/>
    <mergeCell ref="E60:N60"/>
    <mergeCell ref="S50:T50"/>
    <mergeCell ref="Q55:R55"/>
    <mergeCell ref="Q52:R52"/>
    <mergeCell ref="S52:T52"/>
    <mergeCell ref="S54:T54"/>
    <mergeCell ref="S51:T51"/>
    <mergeCell ref="Q50:R50"/>
    <mergeCell ref="Q51:R51"/>
    <mergeCell ref="S53:T53"/>
    <mergeCell ref="S55:T55"/>
    <mergeCell ref="B22:C22"/>
    <mergeCell ref="B36:AA36"/>
    <mergeCell ref="B37:Z37"/>
    <mergeCell ref="S58:T58"/>
    <mergeCell ref="O56:P56"/>
    <mergeCell ref="E45:T45"/>
    <mergeCell ref="E44:T44"/>
    <mergeCell ref="O55:P55"/>
    <mergeCell ref="Q57:R57"/>
    <mergeCell ref="Q58:R58"/>
    <mergeCell ref="B27:C27"/>
    <mergeCell ref="Q53:R53"/>
    <mergeCell ref="Q56:R56"/>
    <mergeCell ref="B28:C28"/>
    <mergeCell ref="B31:E31"/>
    <mergeCell ref="K8:Q8"/>
    <mergeCell ref="A16:R16"/>
    <mergeCell ref="A17:R17"/>
    <mergeCell ref="A18:R18"/>
    <mergeCell ref="B21:C21"/>
    <mergeCell ref="E22:N22"/>
    <mergeCell ref="F32:G32"/>
    <mergeCell ref="F31:G31"/>
    <mergeCell ref="F33:G33"/>
    <mergeCell ref="F39:N39"/>
    <mergeCell ref="B35:P35"/>
    <mergeCell ref="B24:C24"/>
    <mergeCell ref="B25:C25"/>
    <mergeCell ref="E25:M25"/>
    <mergeCell ref="G27:Q27"/>
    <mergeCell ref="S56:T56"/>
    <mergeCell ref="S57:T57"/>
    <mergeCell ref="O59:P59"/>
    <mergeCell ref="O58:P58"/>
    <mergeCell ref="O64:P64"/>
    <mergeCell ref="O61:P61"/>
    <mergeCell ref="O62:P62"/>
    <mergeCell ref="O57:P57"/>
    <mergeCell ref="O60:P60"/>
    <mergeCell ref="Q64:R64"/>
    <mergeCell ref="E50:N50"/>
    <mergeCell ref="O50:P50"/>
    <mergeCell ref="E51:N51"/>
    <mergeCell ref="E64:N64"/>
    <mergeCell ref="E58:N58"/>
    <mergeCell ref="E63:N63"/>
    <mergeCell ref="E53:N53"/>
    <mergeCell ref="E55:N55"/>
    <mergeCell ref="O51:P51"/>
    <mergeCell ref="E54:N54"/>
    <mergeCell ref="O54:P54"/>
    <mergeCell ref="E59:N59"/>
    <mergeCell ref="E52:N52"/>
    <mergeCell ref="O52:P52"/>
    <mergeCell ref="Q54:R54"/>
    <mergeCell ref="O53:P53"/>
    <mergeCell ref="E57:N57"/>
    <mergeCell ref="E56:N56"/>
    <mergeCell ref="S66:T66"/>
    <mergeCell ref="K75:L75"/>
    <mergeCell ref="I74:J74"/>
    <mergeCell ref="M75:N75"/>
    <mergeCell ref="O74:P74"/>
    <mergeCell ref="O66:P66"/>
    <mergeCell ref="I71:J71"/>
    <mergeCell ref="I70:J70"/>
    <mergeCell ref="M70:N70"/>
    <mergeCell ref="E66:N66"/>
    <mergeCell ref="D97:K97"/>
    <mergeCell ref="L97:M97"/>
    <mergeCell ref="D88:K88"/>
    <mergeCell ref="D93:K93"/>
    <mergeCell ref="D91:K91"/>
    <mergeCell ref="L86:M86"/>
    <mergeCell ref="L87:M87"/>
    <mergeCell ref="L93:M93"/>
    <mergeCell ref="L91:M91"/>
    <mergeCell ref="L88:M88"/>
    <mergeCell ref="D113:K113"/>
    <mergeCell ref="D112:K112"/>
    <mergeCell ref="L112:M112"/>
    <mergeCell ref="D114:K114"/>
    <mergeCell ref="N106:Q106"/>
    <mergeCell ref="D109:K109"/>
    <mergeCell ref="D107:K107"/>
    <mergeCell ref="N114:Q114"/>
    <mergeCell ref="N110:Q110"/>
    <mergeCell ref="L114:M114"/>
    <mergeCell ref="L116:M116"/>
    <mergeCell ref="L115:M115"/>
    <mergeCell ref="L111:M111"/>
    <mergeCell ref="L113:M113"/>
    <mergeCell ref="N117:Q117"/>
    <mergeCell ref="N112:Q112"/>
    <mergeCell ref="N113:Q113"/>
    <mergeCell ref="N111:Q111"/>
    <mergeCell ref="N115:Q115"/>
    <mergeCell ref="L117:M117"/>
    <mergeCell ref="N97:Q97"/>
    <mergeCell ref="R86:S86"/>
    <mergeCell ref="N88:Q88"/>
    <mergeCell ref="R87:S87"/>
    <mergeCell ref="R103:S103"/>
    <mergeCell ref="R102:S102"/>
    <mergeCell ref="R96:S96"/>
    <mergeCell ref="N92:Q92"/>
    <mergeCell ref="N90:Q90"/>
    <mergeCell ref="R91:S91"/>
    <mergeCell ref="D100:K100"/>
    <mergeCell ref="R88:S88"/>
    <mergeCell ref="D92:K92"/>
    <mergeCell ref="D95:K95"/>
    <mergeCell ref="N109:Q109"/>
    <mergeCell ref="L101:M101"/>
    <mergeCell ref="L89:M89"/>
    <mergeCell ref="D105:K105"/>
    <mergeCell ref="N100:Q100"/>
    <mergeCell ref="L106:M106"/>
    <mergeCell ref="L108:M108"/>
    <mergeCell ref="N108:Q108"/>
    <mergeCell ref="N91:Q91"/>
    <mergeCell ref="L104:M104"/>
    <mergeCell ref="N93:Q93"/>
    <mergeCell ref="N86:Q86"/>
    <mergeCell ref="N107:Q107"/>
    <mergeCell ref="L92:M92"/>
    <mergeCell ref="N103:Q103"/>
    <mergeCell ref="N105:Q105"/>
    <mergeCell ref="R193:S193"/>
    <mergeCell ref="R194:S194"/>
    <mergeCell ref="R238:S238"/>
    <mergeCell ref="R241:S241"/>
    <mergeCell ref="R188:S188"/>
    <mergeCell ref="R220:S220"/>
    <mergeCell ref="R239:S239"/>
    <mergeCell ref="R195:S195"/>
    <mergeCell ref="R231:S231"/>
    <mergeCell ref="R225:S225"/>
    <mergeCell ref="R303:S303"/>
    <mergeCell ref="N302:Q302"/>
    <mergeCell ref="R301:S301"/>
    <mergeCell ref="R242:S242"/>
    <mergeCell ref="R255:S255"/>
    <mergeCell ref="R260:S260"/>
    <mergeCell ref="R257:S257"/>
    <mergeCell ref="R265:S265"/>
    <mergeCell ref="R296:S296"/>
    <mergeCell ref="N297:Q297"/>
    <mergeCell ref="R304:S304"/>
    <mergeCell ref="R305:S305"/>
    <mergeCell ref="D301:K301"/>
    <mergeCell ref="D297:K297"/>
    <mergeCell ref="L299:M299"/>
    <mergeCell ref="L301:M301"/>
    <mergeCell ref="L298:M298"/>
    <mergeCell ref="L297:M297"/>
    <mergeCell ref="R300:S300"/>
    <mergeCell ref="R302:S302"/>
    <mergeCell ref="N296:Q296"/>
    <mergeCell ref="R299:S299"/>
    <mergeCell ref="N299:Q299"/>
    <mergeCell ref="D298:K298"/>
    <mergeCell ref="R297:S297"/>
    <mergeCell ref="D296:K296"/>
    <mergeCell ref="R298:S298"/>
    <mergeCell ref="R295:S295"/>
    <mergeCell ref="N295:Q295"/>
    <mergeCell ref="R282:S282"/>
    <mergeCell ref="R274:S274"/>
    <mergeCell ref="N282:Q282"/>
    <mergeCell ref="N287:Q287"/>
    <mergeCell ref="R276:S276"/>
    <mergeCell ref="R285:S285"/>
    <mergeCell ref="N286:Q286"/>
    <mergeCell ref="R283:S283"/>
    <mergeCell ref="N290:Q290"/>
    <mergeCell ref="R273:S273"/>
    <mergeCell ref="R272:S272"/>
    <mergeCell ref="R266:S266"/>
    <mergeCell ref="R278:S278"/>
    <mergeCell ref="R269:S269"/>
    <mergeCell ref="R268:S268"/>
    <mergeCell ref="R270:S270"/>
    <mergeCell ref="R275:S275"/>
    <mergeCell ref="R267:S267"/>
    <mergeCell ref="D154:K154"/>
    <mergeCell ref="D156:K156"/>
    <mergeCell ref="L182:M182"/>
    <mergeCell ref="N289:Q289"/>
    <mergeCell ref="N188:Q188"/>
    <mergeCell ref="N176:Q176"/>
    <mergeCell ref="N180:Q180"/>
    <mergeCell ref="N185:Q185"/>
    <mergeCell ref="L185:M185"/>
    <mergeCell ref="N243:Q243"/>
    <mergeCell ref="R200:S200"/>
    <mergeCell ref="N234:Q234"/>
    <mergeCell ref="R261:S261"/>
    <mergeCell ref="L186:M186"/>
    <mergeCell ref="N204:Q204"/>
    <mergeCell ref="N209:Q209"/>
    <mergeCell ref="L204:M204"/>
    <mergeCell ref="R226:S226"/>
    <mergeCell ref="R237:S237"/>
    <mergeCell ref="L193:M193"/>
    <mergeCell ref="L122:M122"/>
    <mergeCell ref="R184:S184"/>
    <mergeCell ref="N190:Q190"/>
    <mergeCell ref="R192:S192"/>
    <mergeCell ref="N191:Q191"/>
    <mergeCell ref="R186:S186"/>
    <mergeCell ref="N192:Q192"/>
    <mergeCell ref="R182:S182"/>
    <mergeCell ref="R183:S183"/>
    <mergeCell ref="N187:Q187"/>
    <mergeCell ref="L126:M126"/>
    <mergeCell ref="D126:K126"/>
    <mergeCell ref="D125:K125"/>
    <mergeCell ref="N182:Q182"/>
    <mergeCell ref="D178:K178"/>
    <mergeCell ref="L154:M154"/>
    <mergeCell ref="N179:Q179"/>
    <mergeCell ref="D169:K169"/>
    <mergeCell ref="D155:K155"/>
    <mergeCell ref="N153:Q153"/>
    <mergeCell ref="L125:M125"/>
    <mergeCell ref="D117:K117"/>
    <mergeCell ref="D121:K121"/>
    <mergeCell ref="D158:K158"/>
    <mergeCell ref="L118:M118"/>
    <mergeCell ref="D128:K128"/>
    <mergeCell ref="L119:M119"/>
    <mergeCell ref="D119:K119"/>
    <mergeCell ref="D143:K143"/>
    <mergeCell ref="D120:K120"/>
    <mergeCell ref="D115:K115"/>
    <mergeCell ref="D122:K122"/>
    <mergeCell ref="D127:K127"/>
    <mergeCell ref="D116:K116"/>
    <mergeCell ref="D118:K118"/>
    <mergeCell ref="D142:K142"/>
    <mergeCell ref="D124:K124"/>
    <mergeCell ref="D123:K123"/>
    <mergeCell ref="D135:K135"/>
    <mergeCell ref="D136:K136"/>
    <mergeCell ref="L123:M123"/>
    <mergeCell ref="D129:K129"/>
    <mergeCell ref="B669:B670"/>
    <mergeCell ref="C669:G670"/>
    <mergeCell ref="H669:H670"/>
    <mergeCell ref="I669:K669"/>
    <mergeCell ref="L129:M129"/>
    <mergeCell ref="L127:M127"/>
    <mergeCell ref="D149:K149"/>
    <mergeCell ref="L149:M149"/>
    <mergeCell ref="L146:M146"/>
    <mergeCell ref="L147:M147"/>
    <mergeCell ref="L142:M142"/>
    <mergeCell ref="L145:M145"/>
    <mergeCell ref="D151:K151"/>
    <mergeCell ref="D146:K146"/>
    <mergeCell ref="D144:K144"/>
    <mergeCell ref="D148:K148"/>
    <mergeCell ref="D147:K147"/>
    <mergeCell ref="L150:M150"/>
    <mergeCell ref="L133:M133"/>
    <mergeCell ref="D130:K130"/>
    <mergeCell ref="D141:K141"/>
    <mergeCell ref="D134:K134"/>
    <mergeCell ref="L139:M139"/>
    <mergeCell ref="L134:M134"/>
    <mergeCell ref="L138:M138"/>
    <mergeCell ref="L135:M135"/>
    <mergeCell ref="D131:K131"/>
    <mergeCell ref="D133:K133"/>
    <mergeCell ref="D176:K176"/>
    <mergeCell ref="D132:K132"/>
    <mergeCell ref="D138:K138"/>
    <mergeCell ref="D137:K137"/>
    <mergeCell ref="D145:K145"/>
    <mergeCell ref="D150:K150"/>
    <mergeCell ref="D152:K152"/>
    <mergeCell ref="D159:K159"/>
    <mergeCell ref="D140:K140"/>
    <mergeCell ref="D153:K153"/>
    <mergeCell ref="D179:K179"/>
    <mergeCell ref="N178:Q178"/>
    <mergeCell ref="L156:M156"/>
    <mergeCell ref="L158:M158"/>
    <mergeCell ref="L174:M174"/>
    <mergeCell ref="N165:Q165"/>
    <mergeCell ref="N156:Q156"/>
    <mergeCell ref="L157:M157"/>
    <mergeCell ref="N175:Q175"/>
    <mergeCell ref="N173:Q173"/>
    <mergeCell ref="N177:Q177"/>
    <mergeCell ref="O669:Q669"/>
    <mergeCell ref="L669:N669"/>
    <mergeCell ref="L356:M356"/>
    <mergeCell ref="L444:M444"/>
    <mergeCell ref="L447:M447"/>
    <mergeCell ref="L448:M448"/>
    <mergeCell ref="N387:Q387"/>
    <mergeCell ref="L437:M437"/>
    <mergeCell ref="L387:M387"/>
    <mergeCell ref="L531:M531"/>
    <mergeCell ref="L306:M306"/>
    <mergeCell ref="L325:M325"/>
    <mergeCell ref="L313:M313"/>
    <mergeCell ref="N318:Q318"/>
    <mergeCell ref="N325:Q325"/>
    <mergeCell ref="L317:M317"/>
    <mergeCell ref="N319:Q319"/>
    <mergeCell ref="L321:M321"/>
    <mergeCell ref="N320:Q320"/>
    <mergeCell ref="N312:Q312"/>
    <mergeCell ref="C679:G679"/>
    <mergeCell ref="L312:M312"/>
    <mergeCell ref="D305:K305"/>
    <mergeCell ref="D312:K312"/>
    <mergeCell ref="D307:K307"/>
    <mergeCell ref="L305:M305"/>
    <mergeCell ref="D306:K306"/>
    <mergeCell ref="L308:M308"/>
    <mergeCell ref="D309:K309"/>
    <mergeCell ref="I693:J693"/>
    <mergeCell ref="L693:O693"/>
    <mergeCell ref="I688:J688"/>
    <mergeCell ref="L688:O688"/>
    <mergeCell ref="I689:J689"/>
    <mergeCell ref="L689:O689"/>
    <mergeCell ref="I692:J692"/>
    <mergeCell ref="L692:O692"/>
    <mergeCell ref="N324:Q324"/>
    <mergeCell ref="N321:Q321"/>
    <mergeCell ref="N316:Q316"/>
    <mergeCell ref="N317:Q317"/>
    <mergeCell ref="R321:S321"/>
    <mergeCell ref="D314:S314"/>
    <mergeCell ref="R323:S323"/>
    <mergeCell ref="R324:S324"/>
    <mergeCell ref="N323:Q323"/>
    <mergeCell ref="R319:S319"/>
    <mergeCell ref="R679:T679"/>
    <mergeCell ref="R672:T672"/>
    <mergeCell ref="R676:T676"/>
    <mergeCell ref="R669:T670"/>
    <mergeCell ref="R671:T671"/>
    <mergeCell ref="R673:T673"/>
    <mergeCell ref="R677:T677"/>
    <mergeCell ref="R674:T674"/>
    <mergeCell ref="R678:T678"/>
    <mergeCell ref="R675:T675"/>
    <mergeCell ref="C675:G675"/>
    <mergeCell ref="C676:G676"/>
    <mergeCell ref="C677:G677"/>
    <mergeCell ref="C673:G673"/>
    <mergeCell ref="C678:G678"/>
    <mergeCell ref="C672:G672"/>
    <mergeCell ref="C674:G674"/>
    <mergeCell ref="C671:G671"/>
    <mergeCell ref="D323:K323"/>
    <mergeCell ref="D316:K316"/>
    <mergeCell ref="D318:K318"/>
    <mergeCell ref="L318:M318"/>
    <mergeCell ref="D317:K317"/>
    <mergeCell ref="L333:M333"/>
    <mergeCell ref="L467:M467"/>
    <mergeCell ref="L472:M472"/>
    <mergeCell ref="D319:K319"/>
    <mergeCell ref="D320:K320"/>
    <mergeCell ref="L320:M320"/>
    <mergeCell ref="D328:K328"/>
    <mergeCell ref="D322:K322"/>
    <mergeCell ref="L323:M323"/>
    <mergeCell ref="D321:K321"/>
    <mergeCell ref="L324:M324"/>
    <mergeCell ref="D331:K331"/>
    <mergeCell ref="D342:K342"/>
    <mergeCell ref="L322:M322"/>
    <mergeCell ref="D325:K325"/>
    <mergeCell ref="D324:K324"/>
    <mergeCell ref="D327:K327"/>
    <mergeCell ref="D333:K333"/>
    <mergeCell ref="D339:K339"/>
    <mergeCell ref="D335:K335"/>
    <mergeCell ref="D329:K329"/>
    <mergeCell ref="L344:M344"/>
    <mergeCell ref="D336:K336"/>
    <mergeCell ref="D340:K340"/>
    <mergeCell ref="L336:M336"/>
    <mergeCell ref="D338:K338"/>
    <mergeCell ref="L340:M340"/>
    <mergeCell ref="L339:M339"/>
    <mergeCell ref="L341:M341"/>
    <mergeCell ref="D343:K343"/>
    <mergeCell ref="L347:M347"/>
    <mergeCell ref="L348:M348"/>
    <mergeCell ref="D351:K351"/>
    <mergeCell ref="D341:K341"/>
    <mergeCell ref="L350:M350"/>
    <mergeCell ref="D345:K345"/>
    <mergeCell ref="L345:M345"/>
    <mergeCell ref="L346:M346"/>
    <mergeCell ref="L343:M343"/>
    <mergeCell ref="D344:K344"/>
    <mergeCell ref="D349:K349"/>
    <mergeCell ref="D347:K347"/>
    <mergeCell ref="D348:K348"/>
    <mergeCell ref="D359:K359"/>
    <mergeCell ref="D363:K363"/>
    <mergeCell ref="D361:K361"/>
    <mergeCell ref="D353:K353"/>
    <mergeCell ref="D356:K356"/>
    <mergeCell ref="D350:K350"/>
    <mergeCell ref="D346:K346"/>
    <mergeCell ref="D352:K352"/>
    <mergeCell ref="L349:M349"/>
    <mergeCell ref="L357:M357"/>
    <mergeCell ref="L351:M351"/>
    <mergeCell ref="R370:S370"/>
    <mergeCell ref="N370:Q370"/>
    <mergeCell ref="D358:K358"/>
    <mergeCell ref="L368:M368"/>
    <mergeCell ref="D360:K360"/>
    <mergeCell ref="L358:M358"/>
    <mergeCell ref="D367:K367"/>
    <mergeCell ref="L362:M362"/>
    <mergeCell ref="L370:M370"/>
    <mergeCell ref="D366:K366"/>
    <mergeCell ref="N368:Q368"/>
    <mergeCell ref="L367:M367"/>
    <mergeCell ref="L366:M366"/>
    <mergeCell ref="D365:K365"/>
    <mergeCell ref="D362:K362"/>
    <mergeCell ref="L365:M365"/>
    <mergeCell ref="N365:Q365"/>
    <mergeCell ref="D373:K373"/>
    <mergeCell ref="D371:K371"/>
    <mergeCell ref="N366:Q366"/>
    <mergeCell ref="N369:Q369"/>
    <mergeCell ref="N371:Q371"/>
    <mergeCell ref="D370:K370"/>
    <mergeCell ref="D369:K369"/>
    <mergeCell ref="D368:K368"/>
    <mergeCell ref="L388:M388"/>
    <mergeCell ref="D454:K454"/>
    <mergeCell ref="L453:M453"/>
    <mergeCell ref="D449:K449"/>
    <mergeCell ref="D448:K448"/>
    <mergeCell ref="L454:M454"/>
    <mergeCell ref="L452:M452"/>
    <mergeCell ref="D453:K453"/>
    <mergeCell ref="D411:S411"/>
    <mergeCell ref="N442:Q442"/>
    <mergeCell ref="D517:K517"/>
    <mergeCell ref="D516:K516"/>
    <mergeCell ref="D490:K490"/>
    <mergeCell ref="D507:K507"/>
    <mergeCell ref="D494:K494"/>
    <mergeCell ref="D513:K513"/>
    <mergeCell ref="D497:K497"/>
    <mergeCell ref="D508:K508"/>
    <mergeCell ref="D492:K492"/>
    <mergeCell ref="D491:K491"/>
    <mergeCell ref="N529:Q529"/>
    <mergeCell ref="R528:S528"/>
    <mergeCell ref="L512:M512"/>
    <mergeCell ref="L508:M508"/>
    <mergeCell ref="L509:M509"/>
    <mergeCell ref="R511:S511"/>
    <mergeCell ref="R508:S508"/>
    <mergeCell ref="R519:S519"/>
    <mergeCell ref="R523:S523"/>
    <mergeCell ref="N527:Q527"/>
    <mergeCell ref="D504:K504"/>
    <mergeCell ref="L504:M504"/>
    <mergeCell ref="L507:M507"/>
    <mergeCell ref="L505:M505"/>
    <mergeCell ref="L506:M506"/>
    <mergeCell ref="L502:M502"/>
    <mergeCell ref="D482:K482"/>
    <mergeCell ref="D473:K473"/>
    <mergeCell ref="D486:K486"/>
    <mergeCell ref="D474:K474"/>
    <mergeCell ref="D484:K484"/>
    <mergeCell ref="D488:K488"/>
    <mergeCell ref="D483:K483"/>
    <mergeCell ref="D489:K489"/>
    <mergeCell ref="D476:K476"/>
    <mergeCell ref="R479:S479"/>
    <mergeCell ref="L482:M482"/>
    <mergeCell ref="D478:K478"/>
    <mergeCell ref="L491:M491"/>
    <mergeCell ref="D485:K485"/>
    <mergeCell ref="R489:S489"/>
    <mergeCell ref="N484:Q484"/>
    <mergeCell ref="N485:Q485"/>
    <mergeCell ref="L478:M478"/>
    <mergeCell ref="N478:Q478"/>
    <mergeCell ref="L465:M465"/>
    <mergeCell ref="D464:K464"/>
    <mergeCell ref="L484:M484"/>
    <mergeCell ref="L488:M488"/>
    <mergeCell ref="D475:K475"/>
    <mergeCell ref="D479:K479"/>
    <mergeCell ref="L479:M479"/>
    <mergeCell ref="D481:S481"/>
    <mergeCell ref="L487:M487"/>
    <mergeCell ref="N462:Q462"/>
    <mergeCell ref="N459:Q459"/>
    <mergeCell ref="D471:K471"/>
    <mergeCell ref="N460:Q460"/>
    <mergeCell ref="N471:Q471"/>
    <mergeCell ref="N466:Q466"/>
    <mergeCell ref="D461:K461"/>
    <mergeCell ref="L463:M463"/>
    <mergeCell ref="D460:K460"/>
    <mergeCell ref="L457:M457"/>
    <mergeCell ref="D457:K457"/>
    <mergeCell ref="L451:M451"/>
    <mergeCell ref="L459:M459"/>
    <mergeCell ref="D456:K456"/>
    <mergeCell ref="L455:M455"/>
    <mergeCell ref="D451:K451"/>
    <mergeCell ref="R464:S464"/>
    <mergeCell ref="R466:S466"/>
    <mergeCell ref="L469:M469"/>
    <mergeCell ref="N469:Q469"/>
    <mergeCell ref="N467:Q467"/>
    <mergeCell ref="R465:S465"/>
    <mergeCell ref="N465:Q465"/>
    <mergeCell ref="N474:Q474"/>
    <mergeCell ref="R468:S468"/>
    <mergeCell ref="R474:S474"/>
    <mergeCell ref="R471:S471"/>
    <mergeCell ref="N468:Q468"/>
    <mergeCell ref="R472:S472"/>
    <mergeCell ref="N470:Q470"/>
    <mergeCell ref="N532:Q532"/>
    <mergeCell ref="L475:M475"/>
    <mergeCell ref="R478:S478"/>
    <mergeCell ref="N472:Q472"/>
    <mergeCell ref="R475:S475"/>
    <mergeCell ref="R470:S470"/>
    <mergeCell ref="N475:Q475"/>
    <mergeCell ref="L476:M476"/>
    <mergeCell ref="N476:Q476"/>
    <mergeCell ref="R476:S476"/>
    <mergeCell ref="L534:M534"/>
    <mergeCell ref="R534:S534"/>
    <mergeCell ref="D531:K531"/>
    <mergeCell ref="N486:Q486"/>
    <mergeCell ref="N482:Q482"/>
    <mergeCell ref="R486:S486"/>
    <mergeCell ref="R485:S485"/>
    <mergeCell ref="R488:S488"/>
    <mergeCell ref="R532:S532"/>
    <mergeCell ref="R517:S517"/>
    <mergeCell ref="N522:Q522"/>
    <mergeCell ref="N528:Q528"/>
    <mergeCell ref="L522:M522"/>
    <mergeCell ref="L526:M526"/>
    <mergeCell ref="L527:M527"/>
    <mergeCell ref="N531:Q531"/>
    <mergeCell ref="L529:M529"/>
    <mergeCell ref="D524:S524"/>
    <mergeCell ref="N523:Q523"/>
    <mergeCell ref="D527:K527"/>
    <mergeCell ref="R536:S536"/>
    <mergeCell ref="N536:Q536"/>
    <mergeCell ref="L544:M544"/>
    <mergeCell ref="D542:K542"/>
    <mergeCell ref="D541:K541"/>
    <mergeCell ref="N539:Q539"/>
    <mergeCell ref="L540:M540"/>
    <mergeCell ref="L542:M542"/>
    <mergeCell ref="N542:Q542"/>
    <mergeCell ref="R543:S543"/>
    <mergeCell ref="N543:Q543"/>
    <mergeCell ref="R539:S539"/>
    <mergeCell ref="R538:S538"/>
    <mergeCell ref="L539:M539"/>
    <mergeCell ref="L538:M538"/>
    <mergeCell ref="N538:Q538"/>
    <mergeCell ref="R546:S546"/>
    <mergeCell ref="D544:K544"/>
    <mergeCell ref="N544:Q544"/>
    <mergeCell ref="D546:K546"/>
    <mergeCell ref="N561:Q561"/>
    <mergeCell ref="D545:K545"/>
    <mergeCell ref="L545:M545"/>
    <mergeCell ref="R545:S545"/>
    <mergeCell ref="N547:Q547"/>
    <mergeCell ref="N559:Q559"/>
    <mergeCell ref="L548:M548"/>
    <mergeCell ref="L546:M546"/>
    <mergeCell ref="L547:M547"/>
    <mergeCell ref="D550:K550"/>
    <mergeCell ref="D551:K551"/>
    <mergeCell ref="N551:Q551"/>
    <mergeCell ref="D547:K547"/>
    <mergeCell ref="D548:K548"/>
    <mergeCell ref="D554:K554"/>
    <mergeCell ref="D560:K560"/>
    <mergeCell ref="D555:S555"/>
    <mergeCell ref="D575:K575"/>
    <mergeCell ref="L560:M560"/>
    <mergeCell ref="D558:K558"/>
    <mergeCell ref="D559:K559"/>
    <mergeCell ref="N548:Q548"/>
    <mergeCell ref="N575:Q575"/>
    <mergeCell ref="R577:S577"/>
    <mergeCell ref="R578:S578"/>
    <mergeCell ref="D581:K581"/>
    <mergeCell ref="L587:M587"/>
    <mergeCell ref="R585:S585"/>
    <mergeCell ref="R586:S586"/>
    <mergeCell ref="N585:Q585"/>
    <mergeCell ref="R582:S582"/>
    <mergeCell ref="N578:Q578"/>
    <mergeCell ref="N573:Q573"/>
    <mergeCell ref="L563:M563"/>
    <mergeCell ref="N565:Q565"/>
    <mergeCell ref="D568:K568"/>
    <mergeCell ref="L574:M574"/>
    <mergeCell ref="N587:Q587"/>
    <mergeCell ref="L577:M577"/>
    <mergeCell ref="D586:K586"/>
    <mergeCell ref="D584:S584"/>
    <mergeCell ref="R579:S579"/>
    <mergeCell ref="D582:K582"/>
    <mergeCell ref="L590:M590"/>
    <mergeCell ref="D585:K585"/>
    <mergeCell ref="N582:Q582"/>
    <mergeCell ref="D587:K587"/>
    <mergeCell ref="N562:Q562"/>
    <mergeCell ref="N567:Q567"/>
    <mergeCell ref="D567:K567"/>
    <mergeCell ref="N574:Q574"/>
    <mergeCell ref="D573:K573"/>
    <mergeCell ref="N621:Q621"/>
    <mergeCell ref="R621:S621"/>
    <mergeCell ref="N623:Q623"/>
    <mergeCell ref="N628:Q628"/>
    <mergeCell ref="N622:Q622"/>
    <mergeCell ref="L557:M557"/>
    <mergeCell ref="N590:Q590"/>
    <mergeCell ref="N588:Q588"/>
    <mergeCell ref="L593:M593"/>
    <mergeCell ref="N591:Q591"/>
    <mergeCell ref="R626:S626"/>
    <mergeCell ref="R604:S604"/>
    <mergeCell ref="R605:S605"/>
    <mergeCell ref="R603:S603"/>
    <mergeCell ref="N605:Q605"/>
    <mergeCell ref="R629:S629"/>
    <mergeCell ref="R617:S617"/>
    <mergeCell ref="N618:Q618"/>
    <mergeCell ref="N617:Q617"/>
    <mergeCell ref="R622:S622"/>
    <mergeCell ref="N631:Q631"/>
    <mergeCell ref="R631:S631"/>
    <mergeCell ref="N632:Q632"/>
    <mergeCell ref="D629:K629"/>
    <mergeCell ref="L629:M629"/>
    <mergeCell ref="R587:S587"/>
    <mergeCell ref="R624:S624"/>
    <mergeCell ref="R632:S632"/>
    <mergeCell ref="N629:Q629"/>
    <mergeCell ref="R628:S628"/>
    <mergeCell ref="R642:S642"/>
    <mergeCell ref="D646:K646"/>
    <mergeCell ref="D647:K647"/>
    <mergeCell ref="D628:K628"/>
    <mergeCell ref="D625:K625"/>
    <mergeCell ref="D630:K630"/>
    <mergeCell ref="L630:M630"/>
    <mergeCell ref="L628:M628"/>
    <mergeCell ref="L625:M625"/>
    <mergeCell ref="L632:M632"/>
    <mergeCell ref="N637:Q637"/>
    <mergeCell ref="N638:Q638"/>
    <mergeCell ref="R638:S638"/>
    <mergeCell ref="L647:M647"/>
    <mergeCell ref="R647:S647"/>
    <mergeCell ref="N646:Q646"/>
    <mergeCell ref="R643:S643"/>
    <mergeCell ref="D640:S640"/>
    <mergeCell ref="D639:S639"/>
    <mergeCell ref="D641:K641"/>
    <mergeCell ref="R656:S656"/>
    <mergeCell ref="N656:Q656"/>
    <mergeCell ref="R655:S655"/>
    <mergeCell ref="R653:S653"/>
    <mergeCell ref="R650:S650"/>
    <mergeCell ref="R641:S641"/>
    <mergeCell ref="N647:Q647"/>
    <mergeCell ref="R644:S644"/>
    <mergeCell ref="R646:S646"/>
    <mergeCell ref="R648:S648"/>
    <mergeCell ref="R663:S663"/>
    <mergeCell ref="R665:S665"/>
    <mergeCell ref="L661:M661"/>
    <mergeCell ref="D664:K664"/>
    <mergeCell ref="D657:K657"/>
    <mergeCell ref="L657:M657"/>
    <mergeCell ref="L658:M658"/>
    <mergeCell ref="N658:Q658"/>
    <mergeCell ref="R660:S660"/>
    <mergeCell ref="R664:S664"/>
    <mergeCell ref="D662:K662"/>
    <mergeCell ref="L662:M662"/>
    <mergeCell ref="D663:K663"/>
    <mergeCell ref="D665:K665"/>
    <mergeCell ref="N661:Q661"/>
    <mergeCell ref="R661:S661"/>
    <mergeCell ref="D661:K661"/>
    <mergeCell ref="L665:M665"/>
    <mergeCell ref="N665:Q665"/>
    <mergeCell ref="N662:Q662"/>
    <mergeCell ref="L663:M663"/>
    <mergeCell ref="N663:Q663"/>
    <mergeCell ref="N660:Q660"/>
    <mergeCell ref="L664:M664"/>
    <mergeCell ref="N664:Q664"/>
    <mergeCell ref="N534:Q534"/>
    <mergeCell ref="L537:M537"/>
    <mergeCell ref="N540:Q540"/>
    <mergeCell ref="L582:M582"/>
    <mergeCell ref="L573:M573"/>
    <mergeCell ref="D660:K660"/>
    <mergeCell ref="L660:M660"/>
    <mergeCell ref="L659:M659"/>
    <mergeCell ref="D659:K659"/>
    <mergeCell ref="N659:Q659"/>
    <mergeCell ref="L649:M649"/>
    <mergeCell ref="L650:M650"/>
    <mergeCell ref="D651:K651"/>
    <mergeCell ref="D656:K656"/>
    <mergeCell ref="D655:K655"/>
    <mergeCell ref="R662:S662"/>
    <mergeCell ref="L183:M183"/>
    <mergeCell ref="R442:S442"/>
    <mergeCell ref="L464:M464"/>
    <mergeCell ref="N463:Q463"/>
    <mergeCell ref="N533:Q533"/>
    <mergeCell ref="R542:S542"/>
    <mergeCell ref="L523:M523"/>
    <mergeCell ref="L518:M518"/>
    <mergeCell ref="L651:M651"/>
    <mergeCell ref="R659:S659"/>
    <mergeCell ref="L656:M656"/>
    <mergeCell ref="L653:M653"/>
    <mergeCell ref="D658:K658"/>
    <mergeCell ref="R649:S649"/>
    <mergeCell ref="D528:K528"/>
    <mergeCell ref="R658:S658"/>
    <mergeCell ref="R657:S657"/>
    <mergeCell ref="R654:S654"/>
    <mergeCell ref="N657:Q657"/>
    <mergeCell ref="R484:S484"/>
    <mergeCell ref="N455:Q455"/>
    <mergeCell ref="L516:M516"/>
    <mergeCell ref="R491:S491"/>
    <mergeCell ref="R482:S482"/>
    <mergeCell ref="R487:S487"/>
    <mergeCell ref="N483:Q483"/>
    <mergeCell ref="R490:S490"/>
    <mergeCell ref="R504:S504"/>
    <mergeCell ref="R502:S502"/>
    <mergeCell ref="D540:K540"/>
    <mergeCell ref="D534:K534"/>
    <mergeCell ref="D523:K523"/>
    <mergeCell ref="D539:K539"/>
    <mergeCell ref="L536:M536"/>
    <mergeCell ref="L532:M532"/>
    <mergeCell ref="D530:K530"/>
    <mergeCell ref="D537:K537"/>
    <mergeCell ref="D536:K536"/>
    <mergeCell ref="D526:K526"/>
    <mergeCell ref="D522:K522"/>
    <mergeCell ref="D533:K533"/>
    <mergeCell ref="L530:M530"/>
    <mergeCell ref="D525:S525"/>
    <mergeCell ref="L533:M533"/>
    <mergeCell ref="R494:S494"/>
    <mergeCell ref="D501:K501"/>
    <mergeCell ref="R501:S501"/>
    <mergeCell ref="R507:S507"/>
    <mergeCell ref="R503:S503"/>
    <mergeCell ref="L535:M535"/>
    <mergeCell ref="L543:M543"/>
    <mergeCell ref="L541:M541"/>
    <mergeCell ref="N535:Q535"/>
    <mergeCell ref="L338:M338"/>
    <mergeCell ref="D375:K375"/>
    <mergeCell ref="D374:K374"/>
    <mergeCell ref="L355:M355"/>
    <mergeCell ref="D354:K355"/>
    <mergeCell ref="D372:K372"/>
    <mergeCell ref="N332:Q332"/>
    <mergeCell ref="L230:M230"/>
    <mergeCell ref="L378:M378"/>
    <mergeCell ref="N545:Q545"/>
    <mergeCell ref="N518:Q518"/>
    <mergeCell ref="N464:Q464"/>
    <mergeCell ref="N423:Q423"/>
    <mergeCell ref="N431:Q431"/>
    <mergeCell ref="N238:Q238"/>
    <mergeCell ref="N308:Q308"/>
    <mergeCell ref="D157:K157"/>
    <mergeCell ref="L136:M136"/>
    <mergeCell ref="L189:M189"/>
    <mergeCell ref="D364:K364"/>
    <mergeCell ref="D106:K106"/>
    <mergeCell ref="D110:K110"/>
    <mergeCell ref="D111:K111"/>
    <mergeCell ref="L144:M144"/>
    <mergeCell ref="D230:K230"/>
    <mergeCell ref="L236:M236"/>
    <mergeCell ref="R109:S109"/>
    <mergeCell ref="D139:K139"/>
    <mergeCell ref="R110:S110"/>
    <mergeCell ref="R108:S108"/>
    <mergeCell ref="R112:S112"/>
    <mergeCell ref="L124:M124"/>
    <mergeCell ref="R116:S116"/>
    <mergeCell ref="N116:Q116"/>
    <mergeCell ref="R115:S115"/>
    <mergeCell ref="R114:S114"/>
    <mergeCell ref="N98:Q98"/>
    <mergeCell ref="N99:Q99"/>
    <mergeCell ref="R98:S98"/>
    <mergeCell ref="N232:Q232"/>
    <mergeCell ref="R101:S101"/>
    <mergeCell ref="N101:Q101"/>
    <mergeCell ref="R105:S105"/>
    <mergeCell ref="R107:S107"/>
    <mergeCell ref="R113:S113"/>
    <mergeCell ref="N145:Q145"/>
    <mergeCell ref="L96:M96"/>
    <mergeCell ref="N96:Q96"/>
    <mergeCell ref="N95:Q95"/>
    <mergeCell ref="N94:Q94"/>
    <mergeCell ref="R100:S100"/>
    <mergeCell ref="R106:S106"/>
    <mergeCell ref="N104:Q104"/>
    <mergeCell ref="N102:Q102"/>
    <mergeCell ref="R104:S104"/>
    <mergeCell ref="R99:S99"/>
    <mergeCell ref="R92:S92"/>
    <mergeCell ref="R93:S93"/>
    <mergeCell ref="R94:S94"/>
    <mergeCell ref="R95:S95"/>
    <mergeCell ref="R97:S97"/>
    <mergeCell ref="R121:S121"/>
    <mergeCell ref="R111:S111"/>
    <mergeCell ref="R120:S120"/>
    <mergeCell ref="R119:S119"/>
    <mergeCell ref="R118:S118"/>
    <mergeCell ref="N149:Q149"/>
    <mergeCell ref="N189:Q189"/>
    <mergeCell ref="L188:M188"/>
    <mergeCell ref="L190:M190"/>
    <mergeCell ref="D96:K96"/>
    <mergeCell ref="N181:Q181"/>
    <mergeCell ref="D98:K98"/>
    <mergeCell ref="L98:M98"/>
    <mergeCell ref="L99:M99"/>
    <mergeCell ref="N150:Q150"/>
    <mergeCell ref="N233:Q233"/>
    <mergeCell ref="D103:K103"/>
    <mergeCell ref="D203:S203"/>
    <mergeCell ref="R122:S122"/>
    <mergeCell ref="R123:S123"/>
    <mergeCell ref="L137:M137"/>
    <mergeCell ref="L221:M221"/>
    <mergeCell ref="N226:Q226"/>
    <mergeCell ref="L229:M229"/>
    <mergeCell ref="L225:M225"/>
    <mergeCell ref="D94:K94"/>
    <mergeCell ref="L94:M94"/>
    <mergeCell ref="L110:M110"/>
    <mergeCell ref="L103:M103"/>
    <mergeCell ref="L105:M105"/>
    <mergeCell ref="L109:M109"/>
    <mergeCell ref="L95:M95"/>
    <mergeCell ref="D108:K108"/>
    <mergeCell ref="D99:K99"/>
    <mergeCell ref="D104:K104"/>
    <mergeCell ref="D231:K231"/>
    <mergeCell ref="D223:K223"/>
    <mergeCell ref="D310:K310"/>
    <mergeCell ref="N274:Q274"/>
    <mergeCell ref="N310:Q310"/>
    <mergeCell ref="L273:M273"/>
    <mergeCell ref="N285:Q285"/>
    <mergeCell ref="N275:Q275"/>
    <mergeCell ref="N283:Q283"/>
    <mergeCell ref="N292:Q292"/>
    <mergeCell ref="D308:K308"/>
    <mergeCell ref="N291:Q291"/>
    <mergeCell ref="D315:S315"/>
    <mergeCell ref="L310:M310"/>
    <mergeCell ref="L274:M274"/>
    <mergeCell ref="N307:Q307"/>
    <mergeCell ref="D303:K303"/>
    <mergeCell ref="N305:Q305"/>
    <mergeCell ref="D313:K313"/>
    <mergeCell ref="L307:M307"/>
    <mergeCell ref="L309:M309"/>
    <mergeCell ref="N309:Q309"/>
    <mergeCell ref="R322:S322"/>
    <mergeCell ref="N326:Q326"/>
    <mergeCell ref="L326:M326"/>
    <mergeCell ref="N328:Q328"/>
    <mergeCell ref="L316:M316"/>
    <mergeCell ref="L319:M319"/>
    <mergeCell ref="R313:S313"/>
    <mergeCell ref="N322:Q322"/>
    <mergeCell ref="N329:Q329"/>
    <mergeCell ref="N327:Q327"/>
    <mergeCell ref="L329:M329"/>
    <mergeCell ref="L327:M327"/>
    <mergeCell ref="L328:M328"/>
    <mergeCell ref="R325:S325"/>
    <mergeCell ref="R177:S177"/>
    <mergeCell ref="R185:S185"/>
    <mergeCell ref="R181:S181"/>
    <mergeCell ref="R138:S138"/>
    <mergeCell ref="R141:S141"/>
    <mergeCell ref="R179:S179"/>
    <mergeCell ref="R180:S180"/>
    <mergeCell ref="R143:S143"/>
    <mergeCell ref="R151:S151"/>
    <mergeCell ref="R164:S164"/>
    <mergeCell ref="N124:Q124"/>
    <mergeCell ref="R117:S117"/>
    <mergeCell ref="R134:S134"/>
    <mergeCell ref="N144:Q144"/>
    <mergeCell ref="N133:Q133"/>
    <mergeCell ref="R133:S133"/>
    <mergeCell ref="R124:S124"/>
    <mergeCell ref="N122:Q122"/>
    <mergeCell ref="N120:Q120"/>
    <mergeCell ref="N121:Q121"/>
    <mergeCell ref="N159:Q159"/>
    <mergeCell ref="N152:Q152"/>
    <mergeCell ref="N155:Q155"/>
    <mergeCell ref="R155:S155"/>
    <mergeCell ref="N158:Q158"/>
    <mergeCell ref="R158:S158"/>
    <mergeCell ref="R153:S153"/>
    <mergeCell ref="N157:Q157"/>
    <mergeCell ref="R169:S169"/>
    <mergeCell ref="R171:S171"/>
    <mergeCell ref="N138:Q138"/>
    <mergeCell ref="R150:S150"/>
    <mergeCell ref="N142:Q142"/>
    <mergeCell ref="N141:Q141"/>
    <mergeCell ref="N140:Q140"/>
    <mergeCell ref="R156:S156"/>
    <mergeCell ref="N154:Q154"/>
    <mergeCell ref="R157:S157"/>
    <mergeCell ref="L187:M187"/>
    <mergeCell ref="N223:Q223"/>
    <mergeCell ref="R175:S175"/>
    <mergeCell ref="R167:S167"/>
    <mergeCell ref="D208:K208"/>
    <mergeCell ref="D209:K209"/>
    <mergeCell ref="D217:K217"/>
    <mergeCell ref="D216:K216"/>
    <mergeCell ref="R187:S187"/>
    <mergeCell ref="R174:S174"/>
    <mergeCell ref="R140:S140"/>
    <mergeCell ref="R142:S142"/>
    <mergeCell ref="R145:S145"/>
    <mergeCell ref="R146:S146"/>
    <mergeCell ref="R178:S178"/>
    <mergeCell ref="L232:M232"/>
    <mergeCell ref="L208:M208"/>
    <mergeCell ref="L212:M212"/>
    <mergeCell ref="L218:M218"/>
    <mergeCell ref="L210:M210"/>
    <mergeCell ref="D334:K334"/>
    <mergeCell ref="N183:Q183"/>
    <mergeCell ref="D200:K200"/>
    <mergeCell ref="L241:M241"/>
    <mergeCell ref="D326:K326"/>
    <mergeCell ref="L201:M201"/>
    <mergeCell ref="D186:K186"/>
    <mergeCell ref="L205:M205"/>
    <mergeCell ref="L191:M191"/>
    <mergeCell ref="D207:K207"/>
    <mergeCell ref="N330:Q330"/>
    <mergeCell ref="D357:K357"/>
    <mergeCell ref="L381:M381"/>
    <mergeCell ref="D379:K379"/>
    <mergeCell ref="D330:K330"/>
    <mergeCell ref="D332:K332"/>
    <mergeCell ref="D378:K378"/>
    <mergeCell ref="D376:K377"/>
    <mergeCell ref="D337:K337"/>
    <mergeCell ref="L380:M380"/>
    <mergeCell ref="D380:K380"/>
    <mergeCell ref="D381:K381"/>
    <mergeCell ref="D383:K383"/>
    <mergeCell ref="D438:K438"/>
    <mergeCell ref="D418:K418"/>
    <mergeCell ref="D423:K423"/>
    <mergeCell ref="D387:K387"/>
    <mergeCell ref="D415:K415"/>
    <mergeCell ref="D405:K405"/>
    <mergeCell ref="D409:K409"/>
    <mergeCell ref="N448:Q448"/>
    <mergeCell ref="N444:Q444"/>
    <mergeCell ref="D442:K442"/>
    <mergeCell ref="N439:Q439"/>
    <mergeCell ref="N440:Q440"/>
    <mergeCell ref="L443:M443"/>
    <mergeCell ref="N443:Q443"/>
    <mergeCell ref="N445:Q445"/>
    <mergeCell ref="N441:Q441"/>
    <mergeCell ref="D440:K440"/>
    <mergeCell ref="N446:Q446"/>
    <mergeCell ref="N420:Q420"/>
    <mergeCell ref="N417:Q417"/>
    <mergeCell ref="L442:M442"/>
    <mergeCell ref="N418:Q418"/>
    <mergeCell ref="L423:M423"/>
    <mergeCell ref="L439:M439"/>
    <mergeCell ref="N434:Q434"/>
    <mergeCell ref="N435:Q435"/>
    <mergeCell ref="N430:Q430"/>
    <mergeCell ref="N447:Q447"/>
    <mergeCell ref="L432:M432"/>
    <mergeCell ref="L414:M414"/>
    <mergeCell ref="L413:M413"/>
    <mergeCell ref="N410:Q410"/>
    <mergeCell ref="L446:M446"/>
    <mergeCell ref="N414:Q414"/>
    <mergeCell ref="L417:M417"/>
    <mergeCell ref="L440:M440"/>
    <mergeCell ref="N432:Q432"/>
    <mergeCell ref="D422:K422"/>
    <mergeCell ref="D406:K406"/>
    <mergeCell ref="D417:K417"/>
    <mergeCell ref="D420:K420"/>
    <mergeCell ref="D435:K435"/>
    <mergeCell ref="D432:K432"/>
    <mergeCell ref="D434:K434"/>
    <mergeCell ref="D410:K410"/>
    <mergeCell ref="D416:K416"/>
    <mergeCell ref="D431:K431"/>
    <mergeCell ref="L490:M490"/>
    <mergeCell ref="D458:K458"/>
    <mergeCell ref="L458:M458"/>
    <mergeCell ref="L445:M445"/>
    <mergeCell ref="D447:K447"/>
    <mergeCell ref="D446:K446"/>
    <mergeCell ref="D463:K463"/>
    <mergeCell ref="D469:K469"/>
    <mergeCell ref="D465:K465"/>
    <mergeCell ref="D450:K450"/>
    <mergeCell ref="L581:M581"/>
    <mergeCell ref="R422:S422"/>
    <mergeCell ref="N422:Q422"/>
    <mergeCell ref="N546:Q546"/>
    <mergeCell ref="D529:K529"/>
    <mergeCell ref="D538:K538"/>
    <mergeCell ref="L429:M429"/>
    <mergeCell ref="L528:M528"/>
    <mergeCell ref="L517:M517"/>
    <mergeCell ref="N579:Q579"/>
    <mergeCell ref="L591:M591"/>
    <mergeCell ref="D592:K592"/>
    <mergeCell ref="D562:K562"/>
    <mergeCell ref="D564:K564"/>
    <mergeCell ref="L586:M586"/>
    <mergeCell ref="L585:M585"/>
    <mergeCell ref="L575:M575"/>
    <mergeCell ref="D571:K571"/>
    <mergeCell ref="D574:K574"/>
    <mergeCell ref="D569:S569"/>
    <mergeCell ref="L588:M588"/>
    <mergeCell ref="L576:M576"/>
    <mergeCell ref="D502:K502"/>
    <mergeCell ref="N586:Q586"/>
    <mergeCell ref="N502:Q502"/>
    <mergeCell ref="D519:K519"/>
    <mergeCell ref="L519:M519"/>
    <mergeCell ref="N519:Q519"/>
    <mergeCell ref="D588:K588"/>
    <mergeCell ref="N558:Q558"/>
    <mergeCell ref="D593:K593"/>
    <mergeCell ref="L589:M589"/>
    <mergeCell ref="N589:Q589"/>
    <mergeCell ref="R591:S591"/>
    <mergeCell ref="D590:K590"/>
    <mergeCell ref="L592:M592"/>
    <mergeCell ref="N592:Q592"/>
    <mergeCell ref="R593:S593"/>
    <mergeCell ref="R590:S590"/>
    <mergeCell ref="D591:K591"/>
    <mergeCell ref="R565:S565"/>
    <mergeCell ref="N564:Q564"/>
    <mergeCell ref="R568:S568"/>
    <mergeCell ref="L568:M568"/>
    <mergeCell ref="R567:S567"/>
    <mergeCell ref="L561:M561"/>
    <mergeCell ref="L562:M562"/>
    <mergeCell ref="R562:S562"/>
    <mergeCell ref="R563:S563"/>
    <mergeCell ref="R564:S564"/>
    <mergeCell ref="L596:M596"/>
    <mergeCell ref="L595:M595"/>
    <mergeCell ref="N593:Q593"/>
    <mergeCell ref="R600:S600"/>
    <mergeCell ref="R596:S596"/>
    <mergeCell ref="R595:S595"/>
    <mergeCell ref="L600:M600"/>
    <mergeCell ref="L599:M599"/>
    <mergeCell ref="D598:S598"/>
    <mergeCell ref="D596:K596"/>
    <mergeCell ref="D532:K532"/>
    <mergeCell ref="D589:K589"/>
    <mergeCell ref="R561:S561"/>
    <mergeCell ref="R574:S574"/>
    <mergeCell ref="R549:S549"/>
    <mergeCell ref="R560:S560"/>
    <mergeCell ref="L567:M567"/>
    <mergeCell ref="L558:M558"/>
    <mergeCell ref="R548:S548"/>
    <mergeCell ref="R558:S558"/>
    <mergeCell ref="L565:M565"/>
    <mergeCell ref="N604:Q604"/>
    <mergeCell ref="N600:Q600"/>
    <mergeCell ref="D595:K595"/>
    <mergeCell ref="D597:S597"/>
    <mergeCell ref="D601:K601"/>
    <mergeCell ref="N596:Q596"/>
    <mergeCell ref="R599:S599"/>
    <mergeCell ref="N599:Q599"/>
    <mergeCell ref="R601:S601"/>
    <mergeCell ref="N595:Q595"/>
    <mergeCell ref="R602:S602"/>
    <mergeCell ref="R630:S630"/>
    <mergeCell ref="R634:S634"/>
    <mergeCell ref="R616:S616"/>
    <mergeCell ref="N616:Q616"/>
    <mergeCell ref="N630:Q630"/>
    <mergeCell ref="N627:Q627"/>
    <mergeCell ref="N610:Q610"/>
    <mergeCell ref="N602:Q602"/>
    <mergeCell ref="L652:M652"/>
    <mergeCell ref="N653:Q653"/>
    <mergeCell ref="N652:Q652"/>
    <mergeCell ref="R615:S615"/>
    <mergeCell ref="N642:Q642"/>
    <mergeCell ref="L646:M646"/>
    <mergeCell ref="N645:Q645"/>
    <mergeCell ref="L635:M635"/>
    <mergeCell ref="N634:Q634"/>
    <mergeCell ref="N635:Q635"/>
    <mergeCell ref="L655:M655"/>
    <mergeCell ref="D652:K652"/>
    <mergeCell ref="N655:Q655"/>
    <mergeCell ref="N648:Q651"/>
    <mergeCell ref="D645:K645"/>
    <mergeCell ref="R652:S652"/>
    <mergeCell ref="R651:S651"/>
    <mergeCell ref="N654:Q654"/>
    <mergeCell ref="L648:M648"/>
    <mergeCell ref="D648:K648"/>
    <mergeCell ref="D654:K654"/>
    <mergeCell ref="L654:M654"/>
    <mergeCell ref="D638:K638"/>
    <mergeCell ref="D635:K635"/>
    <mergeCell ref="D642:K642"/>
    <mergeCell ref="L642:M642"/>
    <mergeCell ref="D650:K650"/>
    <mergeCell ref="D649:K649"/>
    <mergeCell ref="L643:M643"/>
    <mergeCell ref="D653:K653"/>
    <mergeCell ref="D644:K644"/>
    <mergeCell ref="D643:K643"/>
    <mergeCell ref="D631:K631"/>
    <mergeCell ref="L631:M631"/>
    <mergeCell ref="D637:K637"/>
    <mergeCell ref="L637:M637"/>
    <mergeCell ref="L641:M641"/>
    <mergeCell ref="L634:M634"/>
    <mergeCell ref="D634:K634"/>
    <mergeCell ref="D618:K618"/>
    <mergeCell ref="D633:K633"/>
    <mergeCell ref="L633:M633"/>
    <mergeCell ref="D632:K632"/>
    <mergeCell ref="D622:K622"/>
    <mergeCell ref="L616:M616"/>
    <mergeCell ref="L618:M618"/>
    <mergeCell ref="L617:M617"/>
    <mergeCell ref="L623:M623"/>
    <mergeCell ref="D620:K620"/>
    <mergeCell ref="R645:S645"/>
    <mergeCell ref="L645:M645"/>
    <mergeCell ref="N641:Q641"/>
    <mergeCell ref="N644:Q644"/>
    <mergeCell ref="N625:Q625"/>
    <mergeCell ref="L644:M644"/>
    <mergeCell ref="L638:M638"/>
    <mergeCell ref="R635:S635"/>
    <mergeCell ref="R637:S637"/>
    <mergeCell ref="N643:Q643"/>
    <mergeCell ref="R611:S611"/>
    <mergeCell ref="R614:S614"/>
    <mergeCell ref="N614:Q614"/>
    <mergeCell ref="N626:Q626"/>
    <mergeCell ref="N607:Q607"/>
    <mergeCell ref="R610:S610"/>
    <mergeCell ref="N609:Q609"/>
    <mergeCell ref="R609:S609"/>
    <mergeCell ref="R613:S613"/>
    <mergeCell ref="N624:Q624"/>
    <mergeCell ref="L609:M609"/>
    <mergeCell ref="N613:Q613"/>
    <mergeCell ref="L610:M610"/>
    <mergeCell ref="N611:Q611"/>
    <mergeCell ref="L602:M602"/>
    <mergeCell ref="L613:M613"/>
    <mergeCell ref="N606:Q606"/>
    <mergeCell ref="L606:M606"/>
    <mergeCell ref="D612:K612"/>
    <mergeCell ref="D599:K599"/>
    <mergeCell ref="L612:M612"/>
    <mergeCell ref="D607:K607"/>
    <mergeCell ref="L607:M607"/>
    <mergeCell ref="D604:K604"/>
    <mergeCell ref="L603:M603"/>
    <mergeCell ref="D605:K605"/>
    <mergeCell ref="L604:M604"/>
    <mergeCell ref="L611:M611"/>
    <mergeCell ref="N601:Q601"/>
    <mergeCell ref="R606:S606"/>
    <mergeCell ref="R607:S607"/>
    <mergeCell ref="N608:Q608"/>
    <mergeCell ref="D603:K603"/>
    <mergeCell ref="L624:M624"/>
    <mergeCell ref="R618:S618"/>
    <mergeCell ref="N612:Q612"/>
    <mergeCell ref="L614:M614"/>
    <mergeCell ref="D623:K623"/>
    <mergeCell ref="R500:S500"/>
    <mergeCell ref="R492:S492"/>
    <mergeCell ref="R497:S497"/>
    <mergeCell ref="R498:S498"/>
    <mergeCell ref="R499:S499"/>
    <mergeCell ref="R495:S495"/>
    <mergeCell ref="R401:S401"/>
    <mergeCell ref="R496:S496"/>
    <mergeCell ref="N438:Q438"/>
    <mergeCell ref="L400:M400"/>
    <mergeCell ref="L474:M474"/>
    <mergeCell ref="R483:S483"/>
    <mergeCell ref="N479:Q479"/>
    <mergeCell ref="N406:Q406"/>
    <mergeCell ref="L409:M409"/>
    <mergeCell ref="L496:M496"/>
    <mergeCell ref="D495:K495"/>
    <mergeCell ref="N497:Q500"/>
    <mergeCell ref="N496:Q496"/>
    <mergeCell ref="D500:K500"/>
    <mergeCell ref="N495:Q495"/>
    <mergeCell ref="D499:K499"/>
    <mergeCell ref="L500:M500"/>
    <mergeCell ref="L497:M497"/>
    <mergeCell ref="D498:K498"/>
    <mergeCell ref="D496:K496"/>
    <mergeCell ref="R414:S414"/>
    <mergeCell ref="N507:Q507"/>
    <mergeCell ref="D480:S480"/>
    <mergeCell ref="D609:K609"/>
    <mergeCell ref="D493:K493"/>
    <mergeCell ref="L493:M493"/>
    <mergeCell ref="R493:S493"/>
    <mergeCell ref="N493:Q493"/>
    <mergeCell ref="N487:Q487"/>
    <mergeCell ref="N488:Q491"/>
    <mergeCell ref="N494:Q494"/>
    <mergeCell ref="L495:M495"/>
    <mergeCell ref="L499:M499"/>
    <mergeCell ref="N501:Q501"/>
    <mergeCell ref="L492:M492"/>
    <mergeCell ref="N492:Q492"/>
    <mergeCell ref="L494:M494"/>
    <mergeCell ref="L501:M501"/>
    <mergeCell ref="L498:M498"/>
    <mergeCell ref="L489:M489"/>
    <mergeCell ref="N504:Q504"/>
    <mergeCell ref="N633:Q633"/>
    <mergeCell ref="R633:S633"/>
    <mergeCell ref="D503:K503"/>
    <mergeCell ref="L503:M503"/>
    <mergeCell ref="N503:Q503"/>
    <mergeCell ref="R608:S608"/>
    <mergeCell ref="R612:S612"/>
    <mergeCell ref="R627:S627"/>
    <mergeCell ref="R512:S512"/>
    <mergeCell ref="D509:K509"/>
    <mergeCell ref="L511:M511"/>
    <mergeCell ref="R513:S513"/>
    <mergeCell ref="N513:Q513"/>
    <mergeCell ref="L513:M513"/>
    <mergeCell ref="N511:Q511"/>
    <mergeCell ref="D510:K510"/>
    <mergeCell ref="D511:K511"/>
    <mergeCell ref="D512:K512"/>
    <mergeCell ref="N458:Q458"/>
    <mergeCell ref="R458:S458"/>
    <mergeCell ref="L473:M473"/>
    <mergeCell ref="L470:M470"/>
    <mergeCell ref="R473:S473"/>
    <mergeCell ref="R469:S469"/>
    <mergeCell ref="R467:S467"/>
    <mergeCell ref="N473:Q473"/>
    <mergeCell ref="L462:M462"/>
    <mergeCell ref="R463:S463"/>
    <mergeCell ref="N505:Q505"/>
    <mergeCell ref="N506:Q506"/>
    <mergeCell ref="R505:S505"/>
    <mergeCell ref="R506:S506"/>
    <mergeCell ref="D505:K505"/>
    <mergeCell ref="D506:K506"/>
    <mergeCell ref="D514:K514"/>
    <mergeCell ref="L514:M514"/>
    <mergeCell ref="N514:Q514"/>
    <mergeCell ref="R514:S514"/>
    <mergeCell ref="D520:K520"/>
    <mergeCell ref="L520:M520"/>
    <mergeCell ref="N520:Q520"/>
    <mergeCell ref="R520:S520"/>
    <mergeCell ref="D518:K518"/>
    <mergeCell ref="D515:K51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0" r:id="rId3"/>
  <rowBreaks count="20" manualBreakCount="20">
    <brk id="45" max="255" man="1"/>
    <brk id="77" max="25" man="1"/>
    <brk id="117" max="25" man="1"/>
    <brk id="164" max="25" man="1"/>
    <brk id="193" max="25" man="1"/>
    <brk id="230" max="25" man="1"/>
    <brk id="262" max="25" man="1"/>
    <brk id="294" max="25" man="1"/>
    <brk id="329" max="25" man="1"/>
    <brk id="360" max="25" man="1"/>
    <brk id="390" max="25" man="1"/>
    <brk id="416" max="25" man="1"/>
    <brk id="454" max="25" man="1"/>
    <brk id="487" max="25" man="1"/>
    <brk id="519" max="25" man="1"/>
    <brk id="551" max="25" man="1"/>
    <brk id="579" max="25" man="1"/>
    <brk id="608" max="25" man="1"/>
    <brk id="630" max="25" man="1"/>
    <brk id="665" max="2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74"/>
  <sheetViews>
    <sheetView tabSelected="1" view="pageBreakPreview" zoomScaleSheetLayoutView="100" zoomScalePageLayoutView="0" workbookViewId="0" topLeftCell="A147">
      <selection activeCell="X136" sqref="X136"/>
    </sheetView>
  </sheetViews>
  <sheetFormatPr defaultColWidth="9.33203125" defaultRowHeight="11.25"/>
  <cols>
    <col min="1" max="1" width="4.5" style="0" customWidth="1"/>
    <col min="2" max="2" width="8" style="0" customWidth="1"/>
    <col min="3" max="4" width="11" style="0" customWidth="1"/>
    <col min="7" max="7" width="10.5" style="0" customWidth="1"/>
    <col min="8" max="8" width="9.83203125" style="0" customWidth="1"/>
    <col min="9" max="9" width="12" style="0" customWidth="1"/>
    <col min="10" max="10" width="9.5" style="0" customWidth="1"/>
    <col min="11" max="11" width="10.66015625" style="0" customWidth="1"/>
    <col min="13" max="13" width="8.83203125" style="0" customWidth="1"/>
    <col min="14" max="14" width="7.33203125" style="0" customWidth="1"/>
    <col min="15" max="15" width="8.5" style="0" customWidth="1"/>
    <col min="16" max="16" width="7.66015625" style="0" customWidth="1"/>
    <col min="19" max="19" width="7.83203125" style="0" customWidth="1"/>
    <col min="20" max="20" width="9.83203125" style="0" customWidth="1"/>
    <col min="21" max="23" width="4.66015625" style="0" customWidth="1"/>
    <col min="24" max="24" width="9.5" style="0" customWidth="1"/>
    <col min="25" max="25" width="6.33203125" style="0" customWidth="1"/>
    <col min="26" max="26" width="6" style="0" customWidth="1"/>
    <col min="27" max="27" width="8.5" style="0" customWidth="1"/>
  </cols>
  <sheetData>
    <row r="1" ht="12.75">
      <c r="K1" s="1" t="s">
        <v>705</v>
      </c>
    </row>
    <row r="2" ht="12.75">
      <c r="K2" s="1" t="s">
        <v>706</v>
      </c>
    </row>
    <row r="3" ht="12.75">
      <c r="K3" s="1" t="s">
        <v>725</v>
      </c>
    </row>
    <row r="6" spans="11:17" ht="15.75">
      <c r="K6" s="3" t="s">
        <v>43</v>
      </c>
      <c r="L6" s="3"/>
      <c r="M6" s="3"/>
      <c r="N6" s="3"/>
      <c r="O6" s="3"/>
      <c r="P6" s="3"/>
      <c r="Q6" s="3"/>
    </row>
    <row r="7" spans="11:17" ht="15.75">
      <c r="K7" s="4" t="s">
        <v>704</v>
      </c>
      <c r="L7" s="3"/>
      <c r="M7" s="3"/>
      <c r="N7" s="3"/>
      <c r="O7" s="3"/>
      <c r="P7" s="3"/>
      <c r="Q7" s="3"/>
    </row>
    <row r="8" spans="11:17" ht="15.75">
      <c r="K8" s="236" t="s">
        <v>44</v>
      </c>
      <c r="L8" s="236"/>
      <c r="M8" s="236"/>
      <c r="N8" s="236"/>
      <c r="O8" s="236"/>
      <c r="P8" s="236"/>
      <c r="Q8" s="236"/>
    </row>
    <row r="9" spans="11:17" ht="15">
      <c r="K9" s="42" t="s">
        <v>606</v>
      </c>
      <c r="L9" s="6"/>
      <c r="M9" s="6"/>
      <c r="N9" s="6"/>
      <c r="O9" s="6"/>
      <c r="P9" s="6"/>
      <c r="Q9" s="6"/>
    </row>
    <row r="10" spans="11:17" ht="15.75">
      <c r="K10" s="3"/>
      <c r="L10" s="3"/>
      <c r="M10" s="3"/>
      <c r="N10" s="3"/>
      <c r="O10" s="3"/>
      <c r="P10" s="3"/>
      <c r="Q10" s="3"/>
    </row>
    <row r="11" spans="11:17" ht="15.75">
      <c r="K11" s="8" t="s">
        <v>760</v>
      </c>
      <c r="L11" s="8"/>
      <c r="M11" s="8"/>
      <c r="N11" s="8"/>
      <c r="O11" s="8"/>
      <c r="P11" s="8"/>
      <c r="Q11" s="8"/>
    </row>
    <row r="12" spans="11:17" ht="15.75">
      <c r="K12" s="42" t="s">
        <v>607</v>
      </c>
      <c r="L12" s="9"/>
      <c r="M12" s="9"/>
      <c r="N12" s="9"/>
      <c r="O12" s="9"/>
      <c r="P12" s="9"/>
      <c r="Q12" s="9"/>
    </row>
    <row r="13" spans="11:17" ht="15.75">
      <c r="K13" s="123" t="str">
        <f>'6020'!K13:L13</f>
        <v>11.12.2017 р. № 288/72/ОД</v>
      </c>
      <c r="L13" s="123"/>
      <c r="M13" s="52"/>
      <c r="N13" s="35"/>
      <c r="O13" s="40"/>
      <c r="P13" s="23"/>
      <c r="Q13" s="23"/>
    </row>
    <row r="16" spans="1:18" ht="15.75">
      <c r="A16" s="230" t="s">
        <v>608</v>
      </c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</row>
    <row r="17" spans="1:18" ht="15.75">
      <c r="A17" s="230" t="s">
        <v>609</v>
      </c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</row>
    <row r="18" spans="1:18" ht="15.75">
      <c r="A18" s="230" t="s">
        <v>712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</row>
    <row r="21" spans="1:14" ht="15.75">
      <c r="A21" s="46" t="s">
        <v>610</v>
      </c>
      <c r="B21" s="239">
        <v>4000000</v>
      </c>
      <c r="C21" s="239"/>
      <c r="E21" s="14" t="s">
        <v>44</v>
      </c>
      <c r="F21" s="34"/>
      <c r="G21" s="34"/>
      <c r="H21" s="11"/>
      <c r="I21" s="11"/>
      <c r="J21" s="11"/>
      <c r="K21" s="11"/>
      <c r="L21" s="11"/>
      <c r="M21" s="11"/>
      <c r="N21" s="52"/>
    </row>
    <row r="22" spans="1:14" ht="15.75">
      <c r="A22" s="44"/>
      <c r="B22" s="240" t="s">
        <v>611</v>
      </c>
      <c r="C22" s="240"/>
      <c r="E22" s="240" t="s">
        <v>612</v>
      </c>
      <c r="F22" s="240"/>
      <c r="G22" s="240"/>
      <c r="H22" s="240"/>
      <c r="I22" s="240"/>
      <c r="J22" s="240"/>
      <c r="K22" s="240"/>
      <c r="L22" s="240"/>
      <c r="M22" s="240"/>
      <c r="N22" s="240"/>
    </row>
    <row r="23" ht="11.25">
      <c r="A23" s="44"/>
    </row>
    <row r="24" spans="1:14" ht="15.75">
      <c r="A24" s="46" t="s">
        <v>613</v>
      </c>
      <c r="B24" s="239">
        <v>4010000</v>
      </c>
      <c r="C24" s="239"/>
      <c r="E24" s="14" t="s">
        <v>44</v>
      </c>
      <c r="F24" s="34"/>
      <c r="G24" s="34"/>
      <c r="H24" s="11"/>
      <c r="I24" s="11"/>
      <c r="J24" s="11"/>
      <c r="K24" s="11"/>
      <c r="L24" s="11"/>
      <c r="M24" s="11"/>
      <c r="N24" s="52"/>
    </row>
    <row r="25" spans="1:13" ht="15.75">
      <c r="A25" s="44"/>
      <c r="B25" s="240" t="s">
        <v>611</v>
      </c>
      <c r="C25" s="240"/>
      <c r="E25" s="240" t="s">
        <v>614</v>
      </c>
      <c r="F25" s="240"/>
      <c r="G25" s="240"/>
      <c r="H25" s="240"/>
      <c r="I25" s="240"/>
      <c r="J25" s="240"/>
      <c r="K25" s="240"/>
      <c r="L25" s="240"/>
      <c r="M25" s="240"/>
    </row>
    <row r="26" ht="11.25">
      <c r="A26" s="44"/>
    </row>
    <row r="27" spans="1:17" ht="15.75" customHeight="1">
      <c r="A27" s="46" t="s">
        <v>615</v>
      </c>
      <c r="B27" s="239">
        <v>4016650</v>
      </c>
      <c r="C27" s="239"/>
      <c r="E27" s="72" t="s">
        <v>557</v>
      </c>
      <c r="G27" s="235" t="s">
        <v>680</v>
      </c>
      <c r="H27" s="235"/>
      <c r="I27" s="235"/>
      <c r="J27" s="235"/>
      <c r="K27" s="235"/>
      <c r="L27" s="235"/>
      <c r="M27" s="235"/>
      <c r="N27" s="235"/>
      <c r="O27" s="235"/>
      <c r="P27" s="235"/>
      <c r="Q27" s="235"/>
    </row>
    <row r="28" spans="2:17" ht="18.75">
      <c r="B28" s="430" t="s">
        <v>611</v>
      </c>
      <c r="C28" s="430"/>
      <c r="E28" s="15" t="s">
        <v>113</v>
      </c>
      <c r="F28" s="3"/>
      <c r="G28" s="2"/>
      <c r="H28" s="2"/>
      <c r="I28" s="13"/>
      <c r="J28" s="13" t="s">
        <v>616</v>
      </c>
      <c r="K28" s="13"/>
      <c r="L28" s="13"/>
      <c r="M28" s="13"/>
      <c r="N28" s="13"/>
      <c r="O28" s="12"/>
      <c r="P28" s="2"/>
      <c r="Q28" s="13"/>
    </row>
    <row r="31" spans="1:10" ht="15.75">
      <c r="A31" s="10" t="s">
        <v>617</v>
      </c>
      <c r="B31" s="242" t="s">
        <v>726</v>
      </c>
      <c r="C31" s="242"/>
      <c r="D31" s="242"/>
      <c r="E31" s="242"/>
      <c r="F31" s="244">
        <f>F32+F33</f>
        <v>116065.08339</v>
      </c>
      <c r="G31" s="244"/>
      <c r="H31" s="7" t="s">
        <v>618</v>
      </c>
      <c r="I31" s="16"/>
      <c r="J31" s="5"/>
    </row>
    <row r="32" spans="1:10" ht="18" customHeight="1">
      <c r="A32" s="10"/>
      <c r="B32" s="3" t="s">
        <v>619</v>
      </c>
      <c r="C32" s="3"/>
      <c r="D32" s="2"/>
      <c r="E32" s="2"/>
      <c r="F32" s="234">
        <f>O51</f>
        <v>19393.87</v>
      </c>
      <c r="G32" s="234"/>
      <c r="H32" s="7" t="s">
        <v>707</v>
      </c>
      <c r="I32" s="17"/>
      <c r="J32" s="5"/>
    </row>
    <row r="33" spans="1:10" ht="17.25" customHeight="1">
      <c r="A33" s="10"/>
      <c r="B33" s="3" t="s">
        <v>620</v>
      </c>
      <c r="C33" s="3"/>
      <c r="D33" s="2"/>
      <c r="E33" s="2"/>
      <c r="F33" s="246">
        <f>SUM(Q51:R53)</f>
        <v>96671.21339</v>
      </c>
      <c r="G33" s="246"/>
      <c r="H33" s="7" t="s">
        <v>708</v>
      </c>
      <c r="I33" s="16"/>
      <c r="J33" s="5"/>
    </row>
    <row r="35" spans="1:16" ht="18.75" customHeight="1">
      <c r="A35" s="18" t="s">
        <v>621</v>
      </c>
      <c r="B35" s="238" t="s">
        <v>622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</row>
    <row r="36" spans="1:27" ht="50.25" customHeight="1">
      <c r="A36" s="18"/>
      <c r="B36" s="238" t="s">
        <v>283</v>
      </c>
      <c r="C36" s="238"/>
      <c r="D36" s="238"/>
      <c r="E36" s="238"/>
      <c r="F36" s="238"/>
      <c r="G36" s="238"/>
      <c r="H36" s="238"/>
      <c r="I36" s="238"/>
      <c r="J36" s="238"/>
      <c r="K36" s="238"/>
      <c r="L36" s="238"/>
      <c r="M36" s="238"/>
      <c r="N36" s="238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</row>
    <row r="37" spans="1:28" ht="136.5" customHeight="1">
      <c r="A37" s="55"/>
      <c r="B37" s="431" t="s">
        <v>792</v>
      </c>
      <c r="C37" s="431"/>
      <c r="D37" s="431"/>
      <c r="E37" s="431"/>
      <c r="F37" s="431"/>
      <c r="G37" s="431"/>
      <c r="H37" s="431"/>
      <c r="I37" s="431"/>
      <c r="J37" s="431"/>
      <c r="K37" s="431"/>
      <c r="L37" s="431"/>
      <c r="M37" s="431"/>
      <c r="N37" s="431"/>
      <c r="O37" s="431"/>
      <c r="P37" s="431"/>
      <c r="Q37" s="431"/>
      <c r="R37" s="431"/>
      <c r="S37" s="431"/>
      <c r="T37" s="431"/>
      <c r="U37" s="431"/>
      <c r="V37" s="431"/>
      <c r="W37" s="431"/>
      <c r="X37" s="431"/>
      <c r="Y37" s="431"/>
      <c r="Z37" s="431"/>
      <c r="AA37" s="431"/>
      <c r="AB37" s="55"/>
    </row>
    <row r="38" spans="1:28" ht="21.75" customHeight="1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</row>
    <row r="39" spans="1:19" ht="15.75">
      <c r="A39" s="10" t="s">
        <v>623</v>
      </c>
      <c r="B39" s="19" t="s">
        <v>709</v>
      </c>
      <c r="C39" s="19"/>
      <c r="D39" s="19"/>
      <c r="F39" s="27" t="s">
        <v>242</v>
      </c>
      <c r="G39" s="27"/>
      <c r="H39" s="27"/>
      <c r="I39" s="27"/>
      <c r="J39" s="27"/>
      <c r="K39" s="27"/>
      <c r="L39" s="27"/>
      <c r="M39" s="27"/>
      <c r="N39" s="36"/>
      <c r="O39" s="36"/>
      <c r="P39" s="36"/>
      <c r="Q39" s="36"/>
      <c r="R39" s="36"/>
      <c r="S39" s="36"/>
    </row>
    <row r="40" spans="6:19" ht="15.75">
      <c r="F40" s="79"/>
      <c r="G40" s="80"/>
      <c r="H40" s="80"/>
      <c r="I40" s="80"/>
      <c r="J40" s="80"/>
      <c r="K40" s="80"/>
      <c r="L40" s="80"/>
      <c r="M40" s="81"/>
      <c r="N40" s="80"/>
      <c r="O40" s="80"/>
      <c r="P40" s="80"/>
      <c r="Q40" s="80"/>
      <c r="R40" s="80"/>
      <c r="S40" s="80"/>
    </row>
    <row r="41" spans="1:12" ht="15.75">
      <c r="A41" s="20" t="s">
        <v>624</v>
      </c>
      <c r="B41" s="21" t="s">
        <v>722</v>
      </c>
      <c r="C41" s="2"/>
      <c r="D41" s="21"/>
      <c r="E41" s="21"/>
      <c r="F41" s="21"/>
      <c r="G41" s="21"/>
      <c r="H41" s="21"/>
      <c r="I41" s="21"/>
      <c r="J41" s="21"/>
      <c r="K41" s="21"/>
      <c r="L41" s="21"/>
    </row>
    <row r="43" spans="1:20" ht="30.75" customHeight="1">
      <c r="A43" s="39"/>
      <c r="B43" s="30" t="s">
        <v>683</v>
      </c>
      <c r="C43" s="30" t="s">
        <v>721</v>
      </c>
      <c r="D43" s="30" t="s">
        <v>727</v>
      </c>
      <c r="E43" s="243" t="s">
        <v>720</v>
      </c>
      <c r="F43" s="243"/>
      <c r="G43" s="243"/>
      <c r="H43" s="243"/>
      <c r="I43" s="243"/>
      <c r="J43" s="243"/>
      <c r="K43" s="243"/>
      <c r="L43" s="243"/>
      <c r="M43" s="243"/>
      <c r="N43" s="243"/>
      <c r="O43" s="243"/>
      <c r="P43" s="243"/>
      <c r="Q43" s="243"/>
      <c r="R43" s="243"/>
      <c r="S43" s="243"/>
      <c r="T43" s="243"/>
    </row>
    <row r="44" spans="1:20" ht="15" customHeight="1">
      <c r="A44" s="39"/>
      <c r="B44" s="30"/>
      <c r="C44" s="30"/>
      <c r="D44" s="30"/>
      <c r="E44" s="521"/>
      <c r="F44" s="522"/>
      <c r="G44" s="522"/>
      <c r="H44" s="522"/>
      <c r="I44" s="522"/>
      <c r="J44" s="522"/>
      <c r="K44" s="522"/>
      <c r="L44" s="522"/>
      <c r="M44" s="522"/>
      <c r="N44" s="522"/>
      <c r="O44" s="522"/>
      <c r="P44" s="522"/>
      <c r="Q44" s="522"/>
      <c r="R44" s="522"/>
      <c r="S44" s="522"/>
      <c r="T44" s="523"/>
    </row>
    <row r="45" ht="8.25" customHeight="1">
      <c r="B45" s="39"/>
    </row>
    <row r="46" spans="1:2" ht="15.75">
      <c r="A46" s="10" t="s">
        <v>710</v>
      </c>
      <c r="B46" s="21" t="s">
        <v>723</v>
      </c>
    </row>
    <row r="47" ht="8.25" customHeight="1"/>
    <row r="48" spans="1:19" ht="14.2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S48" s="37" t="s">
        <v>672</v>
      </c>
    </row>
    <row r="49" spans="2:20" ht="36" customHeight="1">
      <c r="B49" s="30" t="s">
        <v>683</v>
      </c>
      <c r="C49" s="30" t="s">
        <v>721</v>
      </c>
      <c r="D49" s="30" t="s">
        <v>727</v>
      </c>
      <c r="E49" s="209" t="s">
        <v>224</v>
      </c>
      <c r="F49" s="209"/>
      <c r="G49" s="209"/>
      <c r="H49" s="209"/>
      <c r="I49" s="209"/>
      <c r="J49" s="209"/>
      <c r="K49" s="209"/>
      <c r="L49" s="209"/>
      <c r="M49" s="209"/>
      <c r="N49" s="209"/>
      <c r="O49" s="209" t="s">
        <v>731</v>
      </c>
      <c r="P49" s="209"/>
      <c r="Q49" s="247" t="s">
        <v>732</v>
      </c>
      <c r="R49" s="247"/>
      <c r="S49" s="144" t="s">
        <v>686</v>
      </c>
      <c r="T49" s="144"/>
    </row>
    <row r="50" spans="2:20" ht="16.5" customHeight="1">
      <c r="B50" s="30">
        <v>1</v>
      </c>
      <c r="C50" s="30">
        <v>2</v>
      </c>
      <c r="D50" s="30">
        <v>3</v>
      </c>
      <c r="E50" s="209">
        <v>4</v>
      </c>
      <c r="F50" s="209"/>
      <c r="G50" s="209"/>
      <c r="H50" s="209"/>
      <c r="I50" s="209"/>
      <c r="J50" s="209"/>
      <c r="K50" s="209"/>
      <c r="L50" s="209"/>
      <c r="M50" s="209"/>
      <c r="N50" s="209"/>
      <c r="O50" s="209">
        <v>5</v>
      </c>
      <c r="P50" s="209"/>
      <c r="Q50" s="247">
        <v>6</v>
      </c>
      <c r="R50" s="247"/>
      <c r="S50" s="144">
        <v>7</v>
      </c>
      <c r="T50" s="144"/>
    </row>
    <row r="51" spans="2:20" ht="33" customHeight="1">
      <c r="B51" s="29">
        <v>1</v>
      </c>
      <c r="C51" s="30">
        <v>4016650</v>
      </c>
      <c r="D51" s="74" t="s">
        <v>557</v>
      </c>
      <c r="E51" s="143" t="s">
        <v>198</v>
      </c>
      <c r="F51" s="143"/>
      <c r="G51" s="143"/>
      <c r="H51" s="143"/>
      <c r="I51" s="143"/>
      <c r="J51" s="143"/>
      <c r="K51" s="143"/>
      <c r="L51" s="143"/>
      <c r="M51" s="143"/>
      <c r="N51" s="143"/>
      <c r="O51" s="250">
        <f>23660.2-2065.88-2200.45</f>
        <v>19393.87</v>
      </c>
      <c r="P51" s="250"/>
      <c r="Q51" s="256"/>
      <c r="R51" s="257"/>
      <c r="S51" s="250">
        <f>O51</f>
        <v>19393.87</v>
      </c>
      <c r="T51" s="250"/>
    </row>
    <row r="52" spans="2:20" ht="36.75" customHeight="1">
      <c r="B52" s="29">
        <v>2</v>
      </c>
      <c r="C52" s="30">
        <v>4016650</v>
      </c>
      <c r="D52" s="74" t="s">
        <v>557</v>
      </c>
      <c r="E52" s="143" t="s">
        <v>199</v>
      </c>
      <c r="F52" s="143"/>
      <c r="G52" s="143"/>
      <c r="H52" s="143"/>
      <c r="I52" s="143"/>
      <c r="J52" s="143"/>
      <c r="K52" s="143"/>
      <c r="L52" s="143"/>
      <c r="M52" s="143"/>
      <c r="N52" s="143"/>
      <c r="O52" s="250"/>
      <c r="P52" s="250"/>
      <c r="Q52" s="248">
        <f>56913.564+11803.886+363-10000+36165.62339-756.86-330-320-6768-300-200-7443.844</f>
        <v>79127.36939</v>
      </c>
      <c r="R52" s="249"/>
      <c r="S52" s="255">
        <f>Q52</f>
        <v>79127.36939</v>
      </c>
      <c r="T52" s="255"/>
    </row>
    <row r="53" spans="2:20" ht="18" customHeight="1">
      <c r="B53" s="29">
        <v>3</v>
      </c>
      <c r="C53" s="30">
        <v>4016650</v>
      </c>
      <c r="D53" s="74" t="s">
        <v>557</v>
      </c>
      <c r="E53" s="166" t="s">
        <v>200</v>
      </c>
      <c r="F53" s="167"/>
      <c r="G53" s="167"/>
      <c r="H53" s="167"/>
      <c r="I53" s="167"/>
      <c r="J53" s="167"/>
      <c r="K53" s="167"/>
      <c r="L53" s="167"/>
      <c r="M53" s="167"/>
      <c r="N53" s="168"/>
      <c r="O53" s="256"/>
      <c r="P53" s="257"/>
      <c r="Q53" s="256">
        <f>3900+4000+4500+700-3000+7443.844</f>
        <v>17543.844</v>
      </c>
      <c r="R53" s="257"/>
      <c r="S53" s="256">
        <f>Q53</f>
        <v>17543.844</v>
      </c>
      <c r="T53" s="257"/>
    </row>
    <row r="54" spans="2:20" ht="15.75" customHeight="1">
      <c r="B54" s="29"/>
      <c r="C54" s="30"/>
      <c r="D54" s="73"/>
      <c r="E54" s="259" t="s">
        <v>678</v>
      </c>
      <c r="F54" s="259"/>
      <c r="G54" s="259"/>
      <c r="H54" s="259"/>
      <c r="I54" s="259"/>
      <c r="J54" s="259"/>
      <c r="K54" s="259"/>
      <c r="L54" s="259"/>
      <c r="M54" s="259"/>
      <c r="N54" s="259"/>
      <c r="O54" s="260">
        <f>O51</f>
        <v>19393.87</v>
      </c>
      <c r="P54" s="260"/>
      <c r="Q54" s="258">
        <f>Q52+Q53</f>
        <v>96671.21339</v>
      </c>
      <c r="R54" s="258"/>
      <c r="S54" s="258">
        <f>O54+Q54</f>
        <v>116065.08339</v>
      </c>
      <c r="T54" s="258"/>
    </row>
    <row r="56" spans="1:2" ht="15.75">
      <c r="A56" s="10" t="s">
        <v>713</v>
      </c>
      <c r="B56" s="21" t="s">
        <v>231</v>
      </c>
    </row>
    <row r="57" ht="15">
      <c r="O57" s="37" t="s">
        <v>672</v>
      </c>
    </row>
    <row r="58" spans="2:16" ht="32.25" customHeight="1">
      <c r="B58" s="57" t="s">
        <v>730</v>
      </c>
      <c r="C58" s="58"/>
      <c r="D58" s="58"/>
      <c r="E58" s="58"/>
      <c r="F58" s="58"/>
      <c r="G58" s="58"/>
      <c r="H58" s="59"/>
      <c r="I58" s="174" t="s">
        <v>721</v>
      </c>
      <c r="J58" s="174"/>
      <c r="K58" s="209" t="s">
        <v>731</v>
      </c>
      <c r="L58" s="209"/>
      <c r="M58" s="144" t="s">
        <v>732</v>
      </c>
      <c r="N58" s="144"/>
      <c r="O58" s="144" t="s">
        <v>686</v>
      </c>
      <c r="P58" s="144"/>
    </row>
    <row r="59" spans="2:16" ht="15" customHeight="1">
      <c r="B59" s="267">
        <v>1</v>
      </c>
      <c r="C59" s="268"/>
      <c r="D59" s="268"/>
      <c r="E59" s="268"/>
      <c r="F59" s="268"/>
      <c r="G59" s="268"/>
      <c r="H59" s="269"/>
      <c r="I59" s="174">
        <v>2</v>
      </c>
      <c r="J59" s="174"/>
      <c r="K59" s="209">
        <v>3</v>
      </c>
      <c r="L59" s="209"/>
      <c r="M59" s="144">
        <v>4</v>
      </c>
      <c r="N59" s="144"/>
      <c r="O59" s="144">
        <v>5</v>
      </c>
      <c r="P59" s="144"/>
    </row>
    <row r="60" spans="2:16" ht="51.75" customHeight="1">
      <c r="B60" s="184" t="s">
        <v>109</v>
      </c>
      <c r="C60" s="185"/>
      <c r="D60" s="185"/>
      <c r="E60" s="185"/>
      <c r="F60" s="185"/>
      <c r="G60" s="185"/>
      <c r="H60" s="186"/>
      <c r="I60" s="174">
        <v>4016650</v>
      </c>
      <c r="J60" s="174"/>
      <c r="K60" s="208">
        <f>O54</f>
        <v>19393.87</v>
      </c>
      <c r="L60" s="208"/>
      <c r="M60" s="208">
        <f>Q54</f>
        <v>96671.21339</v>
      </c>
      <c r="N60" s="208"/>
      <c r="O60" s="208">
        <f>K60+M60</f>
        <v>116065.08339</v>
      </c>
      <c r="P60" s="208"/>
    </row>
    <row r="61" spans="2:16" ht="19.5" customHeight="1">
      <c r="B61" s="193" t="s">
        <v>728</v>
      </c>
      <c r="C61" s="194"/>
      <c r="D61" s="194"/>
      <c r="E61" s="194"/>
      <c r="F61" s="194"/>
      <c r="G61" s="194"/>
      <c r="H61" s="195"/>
      <c r="I61" s="174"/>
      <c r="J61" s="174"/>
      <c r="K61" s="208"/>
      <c r="L61" s="208"/>
      <c r="M61" s="208"/>
      <c r="N61" s="208"/>
      <c r="O61" s="208"/>
      <c r="P61" s="208"/>
    </row>
    <row r="62" spans="2:16" ht="18" customHeight="1">
      <c r="B62" s="193" t="s">
        <v>729</v>
      </c>
      <c r="C62" s="194"/>
      <c r="D62" s="194"/>
      <c r="E62" s="194"/>
      <c r="F62" s="194"/>
      <c r="G62" s="194"/>
      <c r="H62" s="195"/>
      <c r="I62" s="174"/>
      <c r="J62" s="174"/>
      <c r="K62" s="208"/>
      <c r="L62" s="208"/>
      <c r="M62" s="208"/>
      <c r="N62" s="208"/>
      <c r="O62" s="208"/>
      <c r="P62" s="208"/>
    </row>
    <row r="63" spans="2:16" ht="15.75">
      <c r="B63" s="193" t="s">
        <v>676</v>
      </c>
      <c r="C63" s="194"/>
      <c r="D63" s="194"/>
      <c r="E63" s="194"/>
      <c r="F63" s="194"/>
      <c r="G63" s="194"/>
      <c r="H63" s="195"/>
      <c r="I63" s="174"/>
      <c r="J63" s="174"/>
      <c r="K63" s="208"/>
      <c r="L63" s="208"/>
      <c r="M63" s="208"/>
      <c r="N63" s="208"/>
      <c r="O63" s="208"/>
      <c r="P63" s="208"/>
    </row>
    <row r="64" spans="2:16" ht="15.75">
      <c r="B64" s="193" t="s">
        <v>678</v>
      </c>
      <c r="C64" s="194"/>
      <c r="D64" s="194"/>
      <c r="E64" s="194"/>
      <c r="F64" s="194"/>
      <c r="G64" s="194"/>
      <c r="H64" s="195"/>
      <c r="I64" s="174"/>
      <c r="J64" s="174"/>
      <c r="K64" s="208">
        <f>K60</f>
        <v>19393.87</v>
      </c>
      <c r="L64" s="208"/>
      <c r="M64" s="208">
        <f>M60</f>
        <v>96671.21339</v>
      </c>
      <c r="N64" s="208"/>
      <c r="O64" s="208">
        <f>K64+M64</f>
        <v>116065.08339</v>
      </c>
      <c r="P64" s="208"/>
    </row>
    <row r="65" spans="1:9" ht="4.5" customHeight="1">
      <c r="A65" s="31"/>
      <c r="B65" s="31"/>
      <c r="C65" s="31"/>
      <c r="D65" s="31"/>
      <c r="E65" s="31"/>
      <c r="F65" s="31"/>
      <c r="G65" s="31"/>
      <c r="H65" s="31"/>
      <c r="I65" s="31"/>
    </row>
    <row r="66" spans="1:3" ht="15.75">
      <c r="A66" s="10" t="s">
        <v>714</v>
      </c>
      <c r="B66" s="21" t="s">
        <v>724</v>
      </c>
      <c r="C66" s="2"/>
    </row>
    <row r="68" spans="1:20" ht="36" customHeight="1">
      <c r="A68" s="36"/>
      <c r="B68" s="30" t="s">
        <v>683</v>
      </c>
      <c r="C68" s="30" t="s">
        <v>721</v>
      </c>
      <c r="D68" s="144" t="s">
        <v>225</v>
      </c>
      <c r="E68" s="144"/>
      <c r="F68" s="144"/>
      <c r="G68" s="144"/>
      <c r="H68" s="144"/>
      <c r="I68" s="144"/>
      <c r="J68" s="144"/>
      <c r="K68" s="144"/>
      <c r="L68" s="140" t="s">
        <v>715</v>
      </c>
      <c r="M68" s="141"/>
      <c r="N68" s="144" t="s">
        <v>687</v>
      </c>
      <c r="O68" s="144"/>
      <c r="P68" s="144"/>
      <c r="Q68" s="144"/>
      <c r="R68" s="144" t="s">
        <v>733</v>
      </c>
      <c r="S68" s="187"/>
      <c r="T68" s="62"/>
    </row>
    <row r="69" spans="1:20" ht="15" customHeight="1">
      <c r="A69" s="36"/>
      <c r="B69" s="30">
        <v>1</v>
      </c>
      <c r="C69" s="30">
        <v>2</v>
      </c>
      <c r="D69" s="205">
        <v>3</v>
      </c>
      <c r="E69" s="206"/>
      <c r="F69" s="206"/>
      <c r="G69" s="206"/>
      <c r="H69" s="206"/>
      <c r="I69" s="206"/>
      <c r="J69" s="206"/>
      <c r="K69" s="207"/>
      <c r="L69" s="140">
        <v>4</v>
      </c>
      <c r="M69" s="141"/>
      <c r="N69" s="144">
        <v>5</v>
      </c>
      <c r="O69" s="144"/>
      <c r="P69" s="144"/>
      <c r="Q69" s="144"/>
      <c r="R69" s="144"/>
      <c r="S69" s="187"/>
      <c r="T69" s="62"/>
    </row>
    <row r="70" spans="1:20" ht="19.5" customHeight="1">
      <c r="A70" s="36"/>
      <c r="B70" s="30"/>
      <c r="C70" s="32">
        <v>4016650</v>
      </c>
      <c r="D70" s="178" t="s">
        <v>680</v>
      </c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80"/>
      <c r="T70" s="62"/>
    </row>
    <row r="71" spans="1:20" ht="21.75" customHeight="1">
      <c r="A71" s="36"/>
      <c r="B71" s="32"/>
      <c r="C71" s="32"/>
      <c r="D71" s="178" t="s">
        <v>0</v>
      </c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  <c r="S71" s="180"/>
      <c r="T71" s="62"/>
    </row>
    <row r="72" spans="1:20" ht="18" customHeight="1">
      <c r="A72" s="39"/>
      <c r="B72" s="30"/>
      <c r="C72" s="41"/>
      <c r="D72" s="181" t="s">
        <v>688</v>
      </c>
      <c r="E72" s="182"/>
      <c r="F72" s="182"/>
      <c r="G72" s="182"/>
      <c r="H72" s="182"/>
      <c r="I72" s="182"/>
      <c r="J72" s="182"/>
      <c r="K72" s="183"/>
      <c r="L72" s="140"/>
      <c r="M72" s="141"/>
      <c r="N72" s="144"/>
      <c r="O72" s="144"/>
      <c r="P72" s="144"/>
      <c r="Q72" s="144"/>
      <c r="R72" s="144"/>
      <c r="S72" s="187"/>
      <c r="T72" s="62"/>
    </row>
    <row r="73" spans="1:20" ht="18.75" customHeight="1">
      <c r="A73" s="39"/>
      <c r="B73" s="30"/>
      <c r="C73" s="30"/>
      <c r="D73" s="184" t="s">
        <v>383</v>
      </c>
      <c r="E73" s="185"/>
      <c r="F73" s="185"/>
      <c r="G73" s="185"/>
      <c r="H73" s="185"/>
      <c r="I73" s="185"/>
      <c r="J73" s="185"/>
      <c r="K73" s="186"/>
      <c r="L73" s="140" t="s">
        <v>690</v>
      </c>
      <c r="M73" s="141"/>
      <c r="N73" s="144" t="s">
        <v>568</v>
      </c>
      <c r="O73" s="144"/>
      <c r="P73" s="144"/>
      <c r="Q73" s="144"/>
      <c r="R73" s="188">
        <f>O51</f>
        <v>19393.87</v>
      </c>
      <c r="S73" s="187"/>
      <c r="T73" s="62"/>
    </row>
    <row r="74" spans="1:20" ht="19.5" customHeight="1">
      <c r="A74" s="39"/>
      <c r="B74" s="30"/>
      <c r="C74" s="30"/>
      <c r="D74" s="181" t="s">
        <v>693</v>
      </c>
      <c r="E74" s="182"/>
      <c r="F74" s="182"/>
      <c r="G74" s="182"/>
      <c r="H74" s="182"/>
      <c r="I74" s="182"/>
      <c r="J74" s="182"/>
      <c r="K74" s="182"/>
      <c r="L74" s="140"/>
      <c r="M74" s="141"/>
      <c r="N74" s="144"/>
      <c r="O74" s="144"/>
      <c r="P74" s="144"/>
      <c r="Q74" s="144"/>
      <c r="R74" s="144"/>
      <c r="S74" s="144"/>
      <c r="T74" s="63"/>
    </row>
    <row r="75" spans="1:20" ht="19.5" customHeight="1">
      <c r="A75" s="39"/>
      <c r="B75" s="30"/>
      <c r="C75" s="30"/>
      <c r="D75" s="184" t="s">
        <v>558</v>
      </c>
      <c r="E75" s="185"/>
      <c r="F75" s="185"/>
      <c r="G75" s="185"/>
      <c r="H75" s="185"/>
      <c r="I75" s="185"/>
      <c r="J75" s="185"/>
      <c r="K75" s="186"/>
      <c r="L75" s="140" t="s">
        <v>631</v>
      </c>
      <c r="M75" s="141"/>
      <c r="N75" s="144" t="s">
        <v>691</v>
      </c>
      <c r="O75" s="144"/>
      <c r="P75" s="144"/>
      <c r="Q75" s="144"/>
      <c r="R75" s="175">
        <v>78.251</v>
      </c>
      <c r="S75" s="175"/>
      <c r="T75" s="63"/>
    </row>
    <row r="76" spans="1:20" ht="20.25" customHeight="1">
      <c r="A76" s="39"/>
      <c r="B76" s="30"/>
      <c r="C76" s="30"/>
      <c r="D76" s="181" t="s">
        <v>694</v>
      </c>
      <c r="E76" s="182"/>
      <c r="F76" s="182"/>
      <c r="G76" s="182"/>
      <c r="H76" s="182"/>
      <c r="I76" s="182"/>
      <c r="J76" s="182"/>
      <c r="K76" s="182"/>
      <c r="L76" s="140"/>
      <c r="M76" s="141"/>
      <c r="N76" s="144"/>
      <c r="O76" s="144"/>
      <c r="P76" s="144"/>
      <c r="Q76" s="144"/>
      <c r="R76" s="144"/>
      <c r="S76" s="144"/>
      <c r="T76" s="63"/>
    </row>
    <row r="77" spans="1:20" ht="21.75" customHeight="1">
      <c r="A77" s="39"/>
      <c r="B77" s="30"/>
      <c r="C77" s="30"/>
      <c r="D77" s="143" t="s">
        <v>559</v>
      </c>
      <c r="E77" s="143"/>
      <c r="F77" s="143"/>
      <c r="G77" s="143"/>
      <c r="H77" s="143"/>
      <c r="I77" s="143"/>
      <c r="J77" s="143"/>
      <c r="K77" s="143"/>
      <c r="L77" s="140" t="s">
        <v>695</v>
      </c>
      <c r="M77" s="141"/>
      <c r="N77" s="140" t="s">
        <v>603</v>
      </c>
      <c r="O77" s="142"/>
      <c r="P77" s="142"/>
      <c r="Q77" s="141"/>
      <c r="R77" s="133">
        <f>R73/R75</f>
        <v>247.84181671799718</v>
      </c>
      <c r="S77" s="134"/>
      <c r="T77" s="63"/>
    </row>
    <row r="78" spans="1:20" ht="18.75" customHeight="1">
      <c r="A78" s="39"/>
      <c r="B78" s="30"/>
      <c r="C78" s="30"/>
      <c r="D78" s="181" t="s">
        <v>697</v>
      </c>
      <c r="E78" s="182"/>
      <c r="F78" s="182"/>
      <c r="G78" s="182"/>
      <c r="H78" s="182"/>
      <c r="I78" s="182"/>
      <c r="J78" s="182"/>
      <c r="K78" s="182"/>
      <c r="L78" s="140"/>
      <c r="M78" s="141"/>
      <c r="N78" s="144"/>
      <c r="O78" s="144"/>
      <c r="P78" s="144"/>
      <c r="Q78" s="144"/>
      <c r="R78" s="144"/>
      <c r="S78" s="144"/>
      <c r="T78" s="63"/>
    </row>
    <row r="79" spans="1:20" ht="37.5" customHeight="1">
      <c r="A79" s="39"/>
      <c r="B79" s="30"/>
      <c r="C79" s="30"/>
      <c r="D79" s="143" t="s">
        <v>560</v>
      </c>
      <c r="E79" s="143"/>
      <c r="F79" s="143"/>
      <c r="G79" s="143"/>
      <c r="H79" s="143"/>
      <c r="I79" s="143"/>
      <c r="J79" s="143"/>
      <c r="K79" s="143"/>
      <c r="L79" s="140" t="s">
        <v>696</v>
      </c>
      <c r="M79" s="141"/>
      <c r="N79" s="140" t="s">
        <v>603</v>
      </c>
      <c r="O79" s="142"/>
      <c r="P79" s="142"/>
      <c r="Q79" s="141"/>
      <c r="R79" s="189">
        <f>R75/98.301*100</f>
        <v>79.60346283354188</v>
      </c>
      <c r="S79" s="189"/>
      <c r="T79" s="63"/>
    </row>
    <row r="80" spans="1:20" ht="15.75">
      <c r="A80" s="39"/>
      <c r="B80" s="39"/>
      <c r="C80" s="39"/>
      <c r="D80" s="66"/>
      <c r="E80" s="66"/>
      <c r="F80" s="66"/>
      <c r="G80" s="66"/>
      <c r="H80" s="66"/>
      <c r="I80" s="66"/>
      <c r="J80" s="66"/>
      <c r="K80" s="66"/>
      <c r="L80" s="56"/>
      <c r="M80" s="56"/>
      <c r="N80" s="56"/>
      <c r="O80" s="56"/>
      <c r="P80" s="56"/>
      <c r="Q80" s="56"/>
      <c r="R80" s="56"/>
      <c r="S80" s="56"/>
      <c r="T80" s="63"/>
    </row>
    <row r="81" spans="1:20" ht="32.25" customHeight="1">
      <c r="A81" s="39"/>
      <c r="B81" s="30" t="s">
        <v>683</v>
      </c>
      <c r="C81" s="30" t="s">
        <v>721</v>
      </c>
      <c r="D81" s="144" t="s">
        <v>225</v>
      </c>
      <c r="E81" s="144"/>
      <c r="F81" s="144"/>
      <c r="G81" s="144"/>
      <c r="H81" s="144"/>
      <c r="I81" s="144"/>
      <c r="J81" s="144"/>
      <c r="K81" s="144"/>
      <c r="L81" s="140" t="s">
        <v>715</v>
      </c>
      <c r="M81" s="141"/>
      <c r="N81" s="144" t="s">
        <v>687</v>
      </c>
      <c r="O81" s="144"/>
      <c r="P81" s="144"/>
      <c r="Q81" s="144"/>
      <c r="R81" s="144" t="s">
        <v>733</v>
      </c>
      <c r="S81" s="187"/>
      <c r="T81" s="63"/>
    </row>
    <row r="82" spans="1:20" ht="15.75">
      <c r="A82" s="39"/>
      <c r="B82" s="30">
        <v>1</v>
      </c>
      <c r="C82" s="30">
        <v>2</v>
      </c>
      <c r="D82" s="205">
        <v>3</v>
      </c>
      <c r="E82" s="206"/>
      <c r="F82" s="206"/>
      <c r="G82" s="206"/>
      <c r="H82" s="206"/>
      <c r="I82" s="206"/>
      <c r="J82" s="206"/>
      <c r="K82" s="207"/>
      <c r="L82" s="140">
        <v>4</v>
      </c>
      <c r="M82" s="141"/>
      <c r="N82" s="144">
        <v>5</v>
      </c>
      <c r="O82" s="144"/>
      <c r="P82" s="144"/>
      <c r="Q82" s="144"/>
      <c r="R82" s="144"/>
      <c r="S82" s="187"/>
      <c r="T82" s="63"/>
    </row>
    <row r="83" spans="1:20" ht="22.5" customHeight="1">
      <c r="A83" s="39"/>
      <c r="B83" s="30"/>
      <c r="C83" s="32">
        <v>4016650</v>
      </c>
      <c r="D83" s="178" t="s">
        <v>680</v>
      </c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  <c r="S83" s="180"/>
      <c r="T83" s="63"/>
    </row>
    <row r="84" spans="1:20" ht="27.75" customHeight="1">
      <c r="A84" s="39"/>
      <c r="B84" s="32"/>
      <c r="C84" s="32"/>
      <c r="D84" s="178" t="s">
        <v>1</v>
      </c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  <c r="S84" s="180"/>
      <c r="T84" s="63"/>
    </row>
    <row r="85" spans="1:20" ht="18" customHeight="1">
      <c r="A85" s="39"/>
      <c r="B85" s="30"/>
      <c r="C85" s="30"/>
      <c r="D85" s="181" t="s">
        <v>688</v>
      </c>
      <c r="E85" s="182"/>
      <c r="F85" s="182"/>
      <c r="G85" s="182"/>
      <c r="H85" s="182"/>
      <c r="I85" s="182"/>
      <c r="J85" s="182"/>
      <c r="K85" s="182"/>
      <c r="L85" s="140"/>
      <c r="M85" s="141"/>
      <c r="N85" s="144"/>
      <c r="O85" s="144"/>
      <c r="P85" s="144"/>
      <c r="Q85" s="144"/>
      <c r="R85" s="144"/>
      <c r="S85" s="144"/>
      <c r="T85" s="63"/>
    </row>
    <row r="86" spans="1:20" ht="20.25" customHeight="1">
      <c r="A86" s="39"/>
      <c r="B86" s="30"/>
      <c r="C86" s="30"/>
      <c r="D86" s="184" t="s">
        <v>670</v>
      </c>
      <c r="E86" s="185"/>
      <c r="F86" s="185"/>
      <c r="G86" s="185"/>
      <c r="H86" s="185"/>
      <c r="I86" s="185"/>
      <c r="J86" s="185"/>
      <c r="K86" s="186"/>
      <c r="L86" s="140" t="s">
        <v>690</v>
      </c>
      <c r="M86" s="141"/>
      <c r="N86" s="144" t="s">
        <v>568</v>
      </c>
      <c r="O86" s="144"/>
      <c r="P86" s="144"/>
      <c r="Q86" s="144"/>
      <c r="R86" s="221">
        <f>SUM(R87:S89)</f>
        <v>79127.36899999999</v>
      </c>
      <c r="S86" s="222"/>
      <c r="T86" s="63"/>
    </row>
    <row r="87" spans="1:20" ht="26.25" customHeight="1">
      <c r="A87" s="39"/>
      <c r="B87" s="30"/>
      <c r="C87" s="30"/>
      <c r="D87" s="161" t="s">
        <v>85</v>
      </c>
      <c r="E87" s="162"/>
      <c r="F87" s="162"/>
      <c r="G87" s="162"/>
      <c r="H87" s="162"/>
      <c r="I87" s="162"/>
      <c r="J87" s="162"/>
      <c r="K87" s="163"/>
      <c r="L87" s="140" t="s">
        <v>690</v>
      </c>
      <c r="M87" s="141"/>
      <c r="N87" s="144" t="s">
        <v>568</v>
      </c>
      <c r="O87" s="144"/>
      <c r="P87" s="144"/>
      <c r="Q87" s="144"/>
      <c r="R87" s="378">
        <f>71516.593-7443.844</f>
        <v>64072.748999999996</v>
      </c>
      <c r="S87" s="379"/>
      <c r="T87" s="63"/>
    </row>
    <row r="88" spans="1:20" ht="36" customHeight="1">
      <c r="A88" s="39"/>
      <c r="B88" s="30"/>
      <c r="C88" s="30"/>
      <c r="D88" s="161" t="s">
        <v>374</v>
      </c>
      <c r="E88" s="162"/>
      <c r="F88" s="162"/>
      <c r="G88" s="162"/>
      <c r="H88" s="162"/>
      <c r="I88" s="162"/>
      <c r="J88" s="162"/>
      <c r="K88" s="163"/>
      <c r="L88" s="140" t="s">
        <v>690</v>
      </c>
      <c r="M88" s="141"/>
      <c r="N88" s="144" t="s">
        <v>568</v>
      </c>
      <c r="O88" s="144"/>
      <c r="P88" s="144"/>
      <c r="Q88" s="144"/>
      <c r="R88" s="312">
        <f>11803.886+2687.734-300</f>
        <v>14191.62</v>
      </c>
      <c r="S88" s="313"/>
      <c r="T88" s="63"/>
    </row>
    <row r="89" spans="1:20" ht="27" customHeight="1">
      <c r="A89" s="39"/>
      <c r="B89" s="30"/>
      <c r="C89" s="30"/>
      <c r="D89" s="161" t="s">
        <v>368</v>
      </c>
      <c r="E89" s="162"/>
      <c r="F89" s="162"/>
      <c r="G89" s="162"/>
      <c r="H89" s="162"/>
      <c r="I89" s="162"/>
      <c r="J89" s="162"/>
      <c r="K89" s="163"/>
      <c r="L89" s="140" t="s">
        <v>690</v>
      </c>
      <c r="M89" s="141"/>
      <c r="N89" s="144" t="s">
        <v>568</v>
      </c>
      <c r="O89" s="144"/>
      <c r="P89" s="144"/>
      <c r="Q89" s="144"/>
      <c r="R89" s="221">
        <v>863</v>
      </c>
      <c r="S89" s="222"/>
      <c r="T89" s="63"/>
    </row>
    <row r="90" spans="1:20" ht="17.25" customHeight="1">
      <c r="A90" s="39"/>
      <c r="B90" s="30"/>
      <c r="C90" s="30"/>
      <c r="D90" s="181" t="s">
        <v>693</v>
      </c>
      <c r="E90" s="182"/>
      <c r="F90" s="182"/>
      <c r="G90" s="182"/>
      <c r="H90" s="182"/>
      <c r="I90" s="182"/>
      <c r="J90" s="182"/>
      <c r="K90" s="182"/>
      <c r="L90" s="70"/>
      <c r="M90" s="71"/>
      <c r="N90" s="140"/>
      <c r="O90" s="142"/>
      <c r="P90" s="142"/>
      <c r="Q90" s="141"/>
      <c r="R90" s="485"/>
      <c r="S90" s="486"/>
      <c r="T90" s="63"/>
    </row>
    <row r="91" spans="1:20" ht="53.25" customHeight="1">
      <c r="A91" s="39"/>
      <c r="B91" s="30"/>
      <c r="C91" s="30"/>
      <c r="D91" s="184" t="s">
        <v>562</v>
      </c>
      <c r="E91" s="185"/>
      <c r="F91" s="185"/>
      <c r="G91" s="185"/>
      <c r="H91" s="185"/>
      <c r="I91" s="185"/>
      <c r="J91" s="185"/>
      <c r="K91" s="186"/>
      <c r="L91" s="140" t="s">
        <v>116</v>
      </c>
      <c r="M91" s="141"/>
      <c r="N91" s="144" t="s">
        <v>282</v>
      </c>
      <c r="O91" s="144"/>
      <c r="P91" s="144"/>
      <c r="Q91" s="144"/>
      <c r="R91" s="524">
        <v>66.6732</v>
      </c>
      <c r="S91" s="524"/>
      <c r="T91" s="63"/>
    </row>
    <row r="92" spans="1:20" ht="41.25" customHeight="1">
      <c r="A92" s="39"/>
      <c r="B92" s="30"/>
      <c r="C92" s="30"/>
      <c r="D92" s="143" t="s">
        <v>561</v>
      </c>
      <c r="E92" s="143"/>
      <c r="F92" s="143"/>
      <c r="G92" s="143"/>
      <c r="H92" s="143"/>
      <c r="I92" s="143"/>
      <c r="J92" s="143"/>
      <c r="K92" s="143"/>
      <c r="L92" s="140" t="s">
        <v>116</v>
      </c>
      <c r="M92" s="141"/>
      <c r="N92" s="144" t="s">
        <v>208</v>
      </c>
      <c r="O92" s="144"/>
      <c r="P92" s="144"/>
      <c r="Q92" s="144"/>
      <c r="R92" s="490">
        <v>28.895</v>
      </c>
      <c r="S92" s="490"/>
      <c r="T92" s="63"/>
    </row>
    <row r="93" spans="1:20" ht="50.25" customHeight="1">
      <c r="A93" s="39"/>
      <c r="B93" s="30"/>
      <c r="C93" s="30"/>
      <c r="D93" s="261" t="s">
        <v>177</v>
      </c>
      <c r="E93" s="262"/>
      <c r="F93" s="262"/>
      <c r="G93" s="262"/>
      <c r="H93" s="262"/>
      <c r="I93" s="262"/>
      <c r="J93" s="262"/>
      <c r="K93" s="263"/>
      <c r="L93" s="140" t="s">
        <v>737</v>
      </c>
      <c r="M93" s="141"/>
      <c r="N93" s="525" t="s">
        <v>350</v>
      </c>
      <c r="O93" s="526"/>
      <c r="P93" s="526"/>
      <c r="Q93" s="527"/>
      <c r="R93" s="314">
        <f>12+6</f>
        <v>18</v>
      </c>
      <c r="S93" s="315"/>
      <c r="T93" s="63"/>
    </row>
    <row r="94" spans="1:20" ht="18" customHeight="1">
      <c r="A94" s="39"/>
      <c r="B94" s="30"/>
      <c r="C94" s="30"/>
      <c r="D94" s="181" t="s">
        <v>694</v>
      </c>
      <c r="E94" s="182"/>
      <c r="F94" s="182"/>
      <c r="G94" s="182"/>
      <c r="H94" s="182"/>
      <c r="I94" s="182"/>
      <c r="J94" s="182"/>
      <c r="K94" s="182"/>
      <c r="L94" s="140"/>
      <c r="M94" s="141"/>
      <c r="N94" s="144"/>
      <c r="O94" s="144"/>
      <c r="P94" s="144"/>
      <c r="Q94" s="144"/>
      <c r="R94" s="144"/>
      <c r="S94" s="144"/>
      <c r="T94" s="63"/>
    </row>
    <row r="95" spans="1:20" s="97" customFormat="1" ht="21.75" customHeight="1">
      <c r="A95" s="39"/>
      <c r="B95" s="30"/>
      <c r="C95" s="30"/>
      <c r="D95" s="193" t="s">
        <v>563</v>
      </c>
      <c r="E95" s="194"/>
      <c r="F95" s="194"/>
      <c r="G95" s="194"/>
      <c r="H95" s="194"/>
      <c r="I95" s="194"/>
      <c r="J95" s="194"/>
      <c r="K95" s="195"/>
      <c r="L95" s="140" t="s">
        <v>695</v>
      </c>
      <c r="M95" s="141"/>
      <c r="N95" s="140" t="s">
        <v>603</v>
      </c>
      <c r="O95" s="142"/>
      <c r="P95" s="142"/>
      <c r="Q95" s="141"/>
      <c r="R95" s="485">
        <f>R87/R91</f>
        <v>960.9970572883858</v>
      </c>
      <c r="S95" s="486"/>
      <c r="T95" s="63"/>
    </row>
    <row r="96" spans="1:20" s="97" customFormat="1" ht="21.75" customHeight="1">
      <c r="A96" s="39"/>
      <c r="B96" s="30"/>
      <c r="C96" s="30"/>
      <c r="D96" s="166" t="s">
        <v>564</v>
      </c>
      <c r="E96" s="167"/>
      <c r="F96" s="167"/>
      <c r="G96" s="167"/>
      <c r="H96" s="167"/>
      <c r="I96" s="167"/>
      <c r="J96" s="167"/>
      <c r="K96" s="168"/>
      <c r="L96" s="140" t="s">
        <v>695</v>
      </c>
      <c r="M96" s="141"/>
      <c r="N96" s="140" t="s">
        <v>603</v>
      </c>
      <c r="O96" s="142"/>
      <c r="P96" s="142"/>
      <c r="Q96" s="141"/>
      <c r="R96" s="295">
        <f>R88/R92</f>
        <v>491.14448866585917</v>
      </c>
      <c r="S96" s="296"/>
      <c r="T96" s="63"/>
    </row>
    <row r="97" spans="1:20" s="97" customFormat="1" ht="21.75" customHeight="1">
      <c r="A97" s="39"/>
      <c r="B97" s="30"/>
      <c r="C97" s="30"/>
      <c r="D97" s="261" t="s">
        <v>178</v>
      </c>
      <c r="E97" s="262"/>
      <c r="F97" s="262"/>
      <c r="G97" s="262"/>
      <c r="H97" s="262"/>
      <c r="I97" s="262"/>
      <c r="J97" s="262"/>
      <c r="K97" s="263"/>
      <c r="L97" s="140" t="s">
        <v>690</v>
      </c>
      <c r="M97" s="141"/>
      <c r="N97" s="140" t="s">
        <v>603</v>
      </c>
      <c r="O97" s="142"/>
      <c r="P97" s="142"/>
      <c r="Q97" s="141"/>
      <c r="R97" s="295">
        <f>R89/R93</f>
        <v>47.94444444444444</v>
      </c>
      <c r="S97" s="296"/>
      <c r="T97" s="63"/>
    </row>
    <row r="98" spans="1:20" ht="18" customHeight="1">
      <c r="A98" s="39"/>
      <c r="B98" s="30"/>
      <c r="C98" s="30"/>
      <c r="D98" s="181" t="s">
        <v>697</v>
      </c>
      <c r="E98" s="182"/>
      <c r="F98" s="182"/>
      <c r="G98" s="182"/>
      <c r="H98" s="182"/>
      <c r="I98" s="182"/>
      <c r="J98" s="182"/>
      <c r="K98" s="182"/>
      <c r="L98" s="140"/>
      <c r="M98" s="141"/>
      <c r="N98" s="144"/>
      <c r="O98" s="144"/>
      <c r="P98" s="144"/>
      <c r="Q98" s="144"/>
      <c r="R98" s="144"/>
      <c r="S98" s="144"/>
      <c r="T98" s="63"/>
    </row>
    <row r="99" spans="1:20" ht="37.5" customHeight="1">
      <c r="A99" s="39"/>
      <c r="B99" s="30"/>
      <c r="C99" s="30"/>
      <c r="D99" s="184" t="s">
        <v>769</v>
      </c>
      <c r="E99" s="185"/>
      <c r="F99" s="185"/>
      <c r="G99" s="185"/>
      <c r="H99" s="185"/>
      <c r="I99" s="185"/>
      <c r="J99" s="185"/>
      <c r="K99" s="186"/>
      <c r="L99" s="140" t="s">
        <v>696</v>
      </c>
      <c r="M99" s="141"/>
      <c r="N99" s="140" t="s">
        <v>603</v>
      </c>
      <c r="O99" s="142"/>
      <c r="P99" s="142"/>
      <c r="Q99" s="141"/>
      <c r="R99" s="189">
        <f>(R91+R92)/141.325*100</f>
        <v>67.62299663895277</v>
      </c>
      <c r="S99" s="189"/>
      <c r="T99" s="63"/>
    </row>
    <row r="100" spans="1:20" ht="49.5" customHeight="1" hidden="1">
      <c r="A100" s="39"/>
      <c r="B100" s="41"/>
      <c r="C100" s="41"/>
      <c r="D100" s="394" t="s">
        <v>30</v>
      </c>
      <c r="E100" s="394"/>
      <c r="F100" s="394"/>
      <c r="G100" s="394"/>
      <c r="H100" s="394"/>
      <c r="I100" s="394"/>
      <c r="J100" s="394"/>
      <c r="K100" s="394"/>
      <c r="L100" s="144" t="s">
        <v>696</v>
      </c>
      <c r="M100" s="144"/>
      <c r="N100" s="144" t="s">
        <v>603</v>
      </c>
      <c r="O100" s="144"/>
      <c r="P100" s="144"/>
      <c r="Q100" s="144"/>
      <c r="R100" s="519"/>
      <c r="S100" s="520"/>
      <c r="T100" s="63"/>
    </row>
    <row r="101" spans="1:20" ht="2.25" customHeight="1">
      <c r="A101" s="39"/>
      <c r="B101" s="39"/>
      <c r="C101" s="39"/>
      <c r="D101" s="66"/>
      <c r="E101" s="66"/>
      <c r="F101" s="66"/>
      <c r="G101" s="66"/>
      <c r="H101" s="66"/>
      <c r="I101" s="66"/>
      <c r="J101" s="66"/>
      <c r="K101" s="66"/>
      <c r="L101" s="56"/>
      <c r="M101" s="56"/>
      <c r="N101" s="56"/>
      <c r="O101" s="56"/>
      <c r="P101" s="56"/>
      <c r="Q101" s="56"/>
      <c r="R101" s="56"/>
      <c r="S101" s="56"/>
      <c r="T101" s="63"/>
    </row>
    <row r="102" spans="1:20" ht="35.25" customHeight="1">
      <c r="A102" s="39"/>
      <c r="B102" s="30" t="s">
        <v>683</v>
      </c>
      <c r="C102" s="30" t="s">
        <v>721</v>
      </c>
      <c r="D102" s="144" t="s">
        <v>225</v>
      </c>
      <c r="E102" s="144"/>
      <c r="F102" s="144"/>
      <c r="G102" s="144"/>
      <c r="H102" s="144"/>
      <c r="I102" s="144"/>
      <c r="J102" s="144"/>
      <c r="K102" s="144"/>
      <c r="L102" s="140" t="s">
        <v>715</v>
      </c>
      <c r="M102" s="141"/>
      <c r="N102" s="144" t="s">
        <v>687</v>
      </c>
      <c r="O102" s="144"/>
      <c r="P102" s="144"/>
      <c r="Q102" s="144"/>
      <c r="R102" s="144" t="s">
        <v>733</v>
      </c>
      <c r="S102" s="187"/>
      <c r="T102" s="63"/>
    </row>
    <row r="103" spans="1:20" ht="15.75">
      <c r="A103" s="39"/>
      <c r="B103" s="30">
        <v>1</v>
      </c>
      <c r="C103" s="30">
        <v>2</v>
      </c>
      <c r="D103" s="205" t="s">
        <v>711</v>
      </c>
      <c r="E103" s="206"/>
      <c r="F103" s="206"/>
      <c r="G103" s="206"/>
      <c r="H103" s="206"/>
      <c r="I103" s="206"/>
      <c r="J103" s="206"/>
      <c r="K103" s="207"/>
      <c r="L103" s="140">
        <v>4</v>
      </c>
      <c r="M103" s="141"/>
      <c r="N103" s="144">
        <v>5</v>
      </c>
      <c r="O103" s="144"/>
      <c r="P103" s="144"/>
      <c r="Q103" s="144"/>
      <c r="R103" s="144"/>
      <c r="S103" s="187"/>
      <c r="T103" s="63"/>
    </row>
    <row r="104" spans="1:20" ht="21" customHeight="1">
      <c r="A104" s="39"/>
      <c r="B104" s="30"/>
      <c r="C104" s="32">
        <v>4016650</v>
      </c>
      <c r="D104" s="178" t="s">
        <v>680</v>
      </c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  <c r="S104" s="180"/>
      <c r="T104" s="63"/>
    </row>
    <row r="105" spans="1:20" ht="19.5" customHeight="1">
      <c r="A105" s="39"/>
      <c r="B105" s="32"/>
      <c r="C105" s="32"/>
      <c r="D105" s="178" t="s">
        <v>2</v>
      </c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  <c r="S105" s="180"/>
      <c r="T105" s="63"/>
    </row>
    <row r="106" spans="1:20" ht="18.75" customHeight="1">
      <c r="A106" s="39"/>
      <c r="B106" s="30"/>
      <c r="C106" s="41"/>
      <c r="D106" s="181" t="s">
        <v>688</v>
      </c>
      <c r="E106" s="182"/>
      <c r="F106" s="182"/>
      <c r="G106" s="182"/>
      <c r="H106" s="182"/>
      <c r="I106" s="182"/>
      <c r="J106" s="182"/>
      <c r="K106" s="183"/>
      <c r="L106" s="140"/>
      <c r="M106" s="141"/>
      <c r="N106" s="144"/>
      <c r="O106" s="144"/>
      <c r="P106" s="144"/>
      <c r="Q106" s="144"/>
      <c r="R106" s="144"/>
      <c r="S106" s="187"/>
      <c r="T106" s="63"/>
    </row>
    <row r="107" spans="1:20" ht="21" customHeight="1">
      <c r="A107" s="39"/>
      <c r="B107" s="30"/>
      <c r="C107" s="30"/>
      <c r="D107" s="184" t="s">
        <v>736</v>
      </c>
      <c r="E107" s="185"/>
      <c r="F107" s="185"/>
      <c r="G107" s="185"/>
      <c r="H107" s="185"/>
      <c r="I107" s="185"/>
      <c r="J107" s="185"/>
      <c r="K107" s="186"/>
      <c r="L107" s="140" t="s">
        <v>690</v>
      </c>
      <c r="M107" s="141"/>
      <c r="N107" s="144" t="s">
        <v>568</v>
      </c>
      <c r="O107" s="144"/>
      <c r="P107" s="144"/>
      <c r="Q107" s="144"/>
      <c r="R107" s="188">
        <f>3900+4000+4500+700-3000+7443.844</f>
        <v>17543.844</v>
      </c>
      <c r="S107" s="187"/>
      <c r="T107" s="63"/>
    </row>
    <row r="108" spans="1:20" ht="36.75" customHeight="1">
      <c r="A108" s="39"/>
      <c r="B108" s="30"/>
      <c r="C108" s="30"/>
      <c r="D108" s="184" t="s">
        <v>106</v>
      </c>
      <c r="E108" s="185"/>
      <c r="F108" s="185"/>
      <c r="G108" s="185"/>
      <c r="H108" s="185"/>
      <c r="I108" s="185"/>
      <c r="J108" s="185"/>
      <c r="K108" s="186"/>
      <c r="L108" s="140"/>
      <c r="M108" s="141"/>
      <c r="N108" s="144"/>
      <c r="O108" s="144"/>
      <c r="P108" s="144"/>
      <c r="Q108" s="144"/>
      <c r="R108" s="160"/>
      <c r="S108" s="160"/>
      <c r="T108" s="63"/>
    </row>
    <row r="109" spans="1:20" ht="36" customHeight="1">
      <c r="A109" s="39"/>
      <c r="B109" s="30"/>
      <c r="C109" s="30"/>
      <c r="D109" s="161" t="s">
        <v>566</v>
      </c>
      <c r="E109" s="162"/>
      <c r="F109" s="162"/>
      <c r="G109" s="162"/>
      <c r="H109" s="162"/>
      <c r="I109" s="162"/>
      <c r="J109" s="162"/>
      <c r="K109" s="163"/>
      <c r="L109" s="140" t="s">
        <v>737</v>
      </c>
      <c r="M109" s="141"/>
      <c r="N109" s="144" t="s">
        <v>781</v>
      </c>
      <c r="O109" s="144"/>
      <c r="P109" s="144"/>
      <c r="Q109" s="144"/>
      <c r="R109" s="160">
        <v>1</v>
      </c>
      <c r="S109" s="160"/>
      <c r="T109" s="63"/>
    </row>
    <row r="110" spans="1:20" ht="36" customHeight="1">
      <c r="A110" s="39"/>
      <c r="B110" s="30"/>
      <c r="C110" s="30"/>
      <c r="D110" s="161" t="s">
        <v>765</v>
      </c>
      <c r="E110" s="162"/>
      <c r="F110" s="162"/>
      <c r="G110" s="162"/>
      <c r="H110" s="162"/>
      <c r="I110" s="162"/>
      <c r="J110" s="162"/>
      <c r="K110" s="163"/>
      <c r="L110" s="140" t="s">
        <v>737</v>
      </c>
      <c r="M110" s="141"/>
      <c r="N110" s="144" t="s">
        <v>756</v>
      </c>
      <c r="O110" s="144"/>
      <c r="P110" s="144"/>
      <c r="Q110" s="144"/>
      <c r="R110" s="160">
        <v>9</v>
      </c>
      <c r="S110" s="160"/>
      <c r="T110" s="63"/>
    </row>
    <row r="111" spans="1:20" ht="36" customHeight="1">
      <c r="A111" s="39"/>
      <c r="B111" s="30"/>
      <c r="C111" s="30"/>
      <c r="D111" s="161" t="s">
        <v>503</v>
      </c>
      <c r="E111" s="162"/>
      <c r="F111" s="162"/>
      <c r="G111" s="162"/>
      <c r="H111" s="162"/>
      <c r="I111" s="162"/>
      <c r="J111" s="162"/>
      <c r="K111" s="163"/>
      <c r="L111" s="140" t="s">
        <v>737</v>
      </c>
      <c r="M111" s="141"/>
      <c r="N111" s="144" t="s">
        <v>756</v>
      </c>
      <c r="O111" s="144"/>
      <c r="P111" s="144"/>
      <c r="Q111" s="144"/>
      <c r="R111" s="160">
        <v>1</v>
      </c>
      <c r="S111" s="160"/>
      <c r="T111" s="63"/>
    </row>
    <row r="112" spans="1:20" ht="19.5" customHeight="1">
      <c r="A112" s="39"/>
      <c r="B112" s="30"/>
      <c r="C112" s="30"/>
      <c r="D112" s="184" t="s">
        <v>243</v>
      </c>
      <c r="E112" s="185"/>
      <c r="F112" s="185"/>
      <c r="G112" s="185"/>
      <c r="H112" s="185"/>
      <c r="I112" s="185"/>
      <c r="J112" s="185"/>
      <c r="K112" s="186"/>
      <c r="L112" s="140" t="s">
        <v>737</v>
      </c>
      <c r="M112" s="141"/>
      <c r="N112" s="144" t="s">
        <v>756</v>
      </c>
      <c r="O112" s="144"/>
      <c r="P112" s="144"/>
      <c r="Q112" s="144"/>
      <c r="R112" s="160">
        <v>4</v>
      </c>
      <c r="S112" s="160"/>
      <c r="T112" s="63"/>
    </row>
    <row r="113" spans="1:20" ht="21" customHeight="1">
      <c r="A113" s="39"/>
      <c r="B113" s="30"/>
      <c r="C113" s="30"/>
      <c r="D113" s="161" t="s">
        <v>567</v>
      </c>
      <c r="E113" s="162"/>
      <c r="F113" s="162"/>
      <c r="G113" s="162"/>
      <c r="H113" s="162"/>
      <c r="I113" s="162"/>
      <c r="J113" s="162"/>
      <c r="K113" s="163"/>
      <c r="L113" s="140" t="s">
        <v>737</v>
      </c>
      <c r="M113" s="141"/>
      <c r="N113" s="144" t="s">
        <v>756</v>
      </c>
      <c r="O113" s="144"/>
      <c r="P113" s="144"/>
      <c r="Q113" s="144"/>
      <c r="R113" s="160">
        <f>3</f>
        <v>3</v>
      </c>
      <c r="S113" s="160"/>
      <c r="T113" s="63"/>
    </row>
    <row r="114" spans="1:20" ht="21" customHeight="1">
      <c r="A114" s="39"/>
      <c r="B114" s="30"/>
      <c r="C114" s="30"/>
      <c r="D114" s="161" t="s">
        <v>498</v>
      </c>
      <c r="E114" s="162"/>
      <c r="F114" s="162"/>
      <c r="G114" s="162"/>
      <c r="H114" s="162"/>
      <c r="I114" s="162"/>
      <c r="J114" s="162"/>
      <c r="K114" s="163"/>
      <c r="L114" s="140" t="s">
        <v>737</v>
      </c>
      <c r="M114" s="141"/>
      <c r="N114" s="144" t="s">
        <v>756</v>
      </c>
      <c r="O114" s="144"/>
      <c r="P114" s="144"/>
      <c r="Q114" s="144"/>
      <c r="R114" s="160">
        <v>2</v>
      </c>
      <c r="S114" s="160"/>
      <c r="T114" s="63"/>
    </row>
    <row r="115" spans="1:20" ht="21" customHeight="1">
      <c r="A115" s="39"/>
      <c r="B115" s="30"/>
      <c r="C115" s="30"/>
      <c r="D115" s="161" t="s">
        <v>749</v>
      </c>
      <c r="E115" s="162"/>
      <c r="F115" s="162"/>
      <c r="G115" s="162"/>
      <c r="H115" s="162"/>
      <c r="I115" s="162"/>
      <c r="J115" s="162"/>
      <c r="K115" s="163"/>
      <c r="L115" s="140" t="s">
        <v>631</v>
      </c>
      <c r="M115" s="141"/>
      <c r="N115" s="144" t="s">
        <v>756</v>
      </c>
      <c r="O115" s="144"/>
      <c r="P115" s="144"/>
      <c r="Q115" s="144"/>
      <c r="R115" s="454">
        <v>1.3</v>
      </c>
      <c r="S115" s="455"/>
      <c r="T115" s="63"/>
    </row>
    <row r="116" spans="1:20" ht="21" customHeight="1">
      <c r="A116" s="39"/>
      <c r="B116" s="30"/>
      <c r="C116" s="30"/>
      <c r="D116" s="161" t="s">
        <v>552</v>
      </c>
      <c r="E116" s="162"/>
      <c r="F116" s="162"/>
      <c r="G116" s="162"/>
      <c r="H116" s="162"/>
      <c r="I116" s="162"/>
      <c r="J116" s="162"/>
      <c r="K116" s="163"/>
      <c r="L116" s="140" t="s">
        <v>737</v>
      </c>
      <c r="M116" s="141"/>
      <c r="N116" s="140" t="s">
        <v>553</v>
      </c>
      <c r="O116" s="142"/>
      <c r="P116" s="142"/>
      <c r="Q116" s="141"/>
      <c r="R116" s="390">
        <v>33</v>
      </c>
      <c r="S116" s="391"/>
      <c r="T116" s="63"/>
    </row>
    <row r="117" spans="1:20" ht="32.25" customHeight="1">
      <c r="A117" s="39"/>
      <c r="B117" s="30"/>
      <c r="C117" s="30"/>
      <c r="D117" s="161" t="s">
        <v>797</v>
      </c>
      <c r="E117" s="162"/>
      <c r="F117" s="162"/>
      <c r="G117" s="162"/>
      <c r="H117" s="162"/>
      <c r="I117" s="162"/>
      <c r="J117" s="162"/>
      <c r="K117" s="163"/>
      <c r="L117" s="140" t="s">
        <v>472</v>
      </c>
      <c r="M117" s="141"/>
      <c r="N117" s="140" t="s">
        <v>781</v>
      </c>
      <c r="O117" s="142"/>
      <c r="P117" s="142"/>
      <c r="Q117" s="141"/>
      <c r="R117" s="390">
        <v>134</v>
      </c>
      <c r="S117" s="391"/>
      <c r="T117" s="63"/>
    </row>
    <row r="118" spans="1:20" ht="21" customHeight="1">
      <c r="A118" s="39"/>
      <c r="B118" s="30"/>
      <c r="C118" s="30"/>
      <c r="D118" s="181" t="s">
        <v>693</v>
      </c>
      <c r="E118" s="182"/>
      <c r="F118" s="182"/>
      <c r="G118" s="182"/>
      <c r="H118" s="182"/>
      <c r="I118" s="182"/>
      <c r="J118" s="182"/>
      <c r="K118" s="183"/>
      <c r="L118" s="140"/>
      <c r="M118" s="141"/>
      <c r="N118" s="140"/>
      <c r="O118" s="142"/>
      <c r="P118" s="142"/>
      <c r="Q118" s="141"/>
      <c r="R118" s="140"/>
      <c r="S118" s="141"/>
      <c r="T118" s="63"/>
    </row>
    <row r="119" spans="1:20" ht="37.5" customHeight="1">
      <c r="A119" s="39"/>
      <c r="B119" s="30"/>
      <c r="C119" s="30"/>
      <c r="D119" s="184" t="s">
        <v>565</v>
      </c>
      <c r="E119" s="185"/>
      <c r="F119" s="185"/>
      <c r="G119" s="185"/>
      <c r="H119" s="185"/>
      <c r="I119" s="185"/>
      <c r="J119" s="185"/>
      <c r="K119" s="186"/>
      <c r="L119" s="140"/>
      <c r="M119" s="141"/>
      <c r="N119" s="144"/>
      <c r="O119" s="144"/>
      <c r="P119" s="144"/>
      <c r="Q119" s="144"/>
      <c r="R119" s="160"/>
      <c r="S119" s="160"/>
      <c r="T119" s="63"/>
    </row>
    <row r="120" spans="1:20" ht="34.5" customHeight="1">
      <c r="A120" s="39"/>
      <c r="B120" s="30"/>
      <c r="C120" s="30"/>
      <c r="D120" s="161" t="s">
        <v>566</v>
      </c>
      <c r="E120" s="162"/>
      <c r="F120" s="162"/>
      <c r="G120" s="162"/>
      <c r="H120" s="162"/>
      <c r="I120" s="162"/>
      <c r="J120" s="162"/>
      <c r="K120" s="163"/>
      <c r="L120" s="140" t="s">
        <v>737</v>
      </c>
      <c r="M120" s="141"/>
      <c r="N120" s="144" t="s">
        <v>691</v>
      </c>
      <c r="O120" s="144"/>
      <c r="P120" s="144"/>
      <c r="Q120" s="144"/>
      <c r="R120" s="160">
        <v>1</v>
      </c>
      <c r="S120" s="160"/>
      <c r="T120" s="63"/>
    </row>
    <row r="121" spans="1:20" ht="39" customHeight="1">
      <c r="A121" s="39"/>
      <c r="B121" s="30"/>
      <c r="C121" s="30"/>
      <c r="D121" s="161" t="s">
        <v>766</v>
      </c>
      <c r="E121" s="162"/>
      <c r="F121" s="162"/>
      <c r="G121" s="162"/>
      <c r="H121" s="162"/>
      <c r="I121" s="162"/>
      <c r="J121" s="162"/>
      <c r="K121" s="163"/>
      <c r="L121" s="140" t="s">
        <v>737</v>
      </c>
      <c r="M121" s="141"/>
      <c r="N121" s="144" t="s">
        <v>691</v>
      </c>
      <c r="O121" s="144"/>
      <c r="P121" s="144"/>
      <c r="Q121" s="144"/>
      <c r="R121" s="160">
        <v>9</v>
      </c>
      <c r="S121" s="160"/>
      <c r="T121" s="63"/>
    </row>
    <row r="122" spans="1:20" ht="34.5" customHeight="1">
      <c r="A122" s="39"/>
      <c r="B122" s="30"/>
      <c r="C122" s="30"/>
      <c r="D122" s="161" t="s">
        <v>504</v>
      </c>
      <c r="E122" s="162"/>
      <c r="F122" s="162"/>
      <c r="G122" s="162"/>
      <c r="H122" s="162"/>
      <c r="I122" s="162"/>
      <c r="J122" s="162"/>
      <c r="K122" s="163"/>
      <c r="L122" s="140" t="s">
        <v>737</v>
      </c>
      <c r="M122" s="141"/>
      <c r="N122" s="144" t="s">
        <v>691</v>
      </c>
      <c r="O122" s="144"/>
      <c r="P122" s="144"/>
      <c r="Q122" s="144"/>
      <c r="R122" s="160">
        <v>1</v>
      </c>
      <c r="S122" s="160"/>
      <c r="T122" s="63"/>
    </row>
    <row r="123" spans="1:20" ht="19.5" customHeight="1">
      <c r="A123" s="39"/>
      <c r="B123" s="30"/>
      <c r="C123" s="30"/>
      <c r="D123" s="161" t="s">
        <v>243</v>
      </c>
      <c r="E123" s="162"/>
      <c r="F123" s="162"/>
      <c r="G123" s="162"/>
      <c r="H123" s="162"/>
      <c r="I123" s="162"/>
      <c r="J123" s="162"/>
      <c r="K123" s="163"/>
      <c r="L123" s="140" t="s">
        <v>737</v>
      </c>
      <c r="M123" s="141"/>
      <c r="N123" s="144" t="s">
        <v>691</v>
      </c>
      <c r="O123" s="144"/>
      <c r="P123" s="144"/>
      <c r="Q123" s="144"/>
      <c r="R123" s="160">
        <v>4</v>
      </c>
      <c r="S123" s="160"/>
      <c r="T123" s="63"/>
    </row>
    <row r="124" spans="1:20" ht="19.5" customHeight="1">
      <c r="A124" s="39"/>
      <c r="B124" s="30"/>
      <c r="C124" s="30"/>
      <c r="D124" s="161" t="s">
        <v>107</v>
      </c>
      <c r="E124" s="162"/>
      <c r="F124" s="162"/>
      <c r="G124" s="162"/>
      <c r="H124" s="162"/>
      <c r="I124" s="162"/>
      <c r="J124" s="162"/>
      <c r="K124" s="163"/>
      <c r="L124" s="140" t="s">
        <v>737</v>
      </c>
      <c r="M124" s="141"/>
      <c r="N124" s="144" t="s">
        <v>691</v>
      </c>
      <c r="O124" s="144"/>
      <c r="P124" s="144"/>
      <c r="Q124" s="144"/>
      <c r="R124" s="160">
        <f>3</f>
        <v>3</v>
      </c>
      <c r="S124" s="160"/>
      <c r="T124" s="63"/>
    </row>
    <row r="125" spans="1:20" ht="19.5" customHeight="1">
      <c r="A125" s="39"/>
      <c r="B125" s="30"/>
      <c r="C125" s="30"/>
      <c r="D125" s="161" t="s">
        <v>499</v>
      </c>
      <c r="E125" s="162"/>
      <c r="F125" s="162"/>
      <c r="G125" s="162"/>
      <c r="H125" s="162"/>
      <c r="I125" s="162"/>
      <c r="J125" s="162"/>
      <c r="K125" s="163"/>
      <c r="L125" s="140" t="s">
        <v>737</v>
      </c>
      <c r="M125" s="141"/>
      <c r="N125" s="144" t="s">
        <v>691</v>
      </c>
      <c r="O125" s="144"/>
      <c r="P125" s="144"/>
      <c r="Q125" s="144"/>
      <c r="R125" s="160">
        <v>2</v>
      </c>
      <c r="S125" s="160"/>
      <c r="T125" s="63"/>
    </row>
    <row r="126" spans="1:20" ht="19.5" customHeight="1">
      <c r="A126" s="39"/>
      <c r="B126" s="30"/>
      <c r="C126" s="30"/>
      <c r="D126" s="161" t="s">
        <v>750</v>
      </c>
      <c r="E126" s="162"/>
      <c r="F126" s="162"/>
      <c r="G126" s="162"/>
      <c r="H126" s="162"/>
      <c r="I126" s="162"/>
      <c r="J126" s="162"/>
      <c r="K126" s="163"/>
      <c r="L126" s="140" t="s">
        <v>631</v>
      </c>
      <c r="M126" s="141"/>
      <c r="N126" s="140" t="s">
        <v>756</v>
      </c>
      <c r="O126" s="142"/>
      <c r="P126" s="142"/>
      <c r="Q126" s="141"/>
      <c r="R126" s="454">
        <v>1.3</v>
      </c>
      <c r="S126" s="455"/>
      <c r="T126" s="63"/>
    </row>
    <row r="127" spans="1:20" ht="19.5" customHeight="1">
      <c r="A127" s="39"/>
      <c r="B127" s="30"/>
      <c r="C127" s="30"/>
      <c r="D127" s="161" t="s">
        <v>554</v>
      </c>
      <c r="E127" s="162"/>
      <c r="F127" s="162"/>
      <c r="G127" s="162"/>
      <c r="H127" s="162"/>
      <c r="I127" s="162"/>
      <c r="J127" s="162"/>
      <c r="K127" s="163"/>
      <c r="L127" s="140" t="s">
        <v>737</v>
      </c>
      <c r="M127" s="141"/>
      <c r="N127" s="140" t="s">
        <v>553</v>
      </c>
      <c r="O127" s="142"/>
      <c r="P127" s="142"/>
      <c r="Q127" s="141"/>
      <c r="R127" s="390">
        <v>33</v>
      </c>
      <c r="S127" s="391"/>
      <c r="T127" s="63"/>
    </row>
    <row r="128" spans="1:20" ht="33.75" customHeight="1">
      <c r="A128" s="39"/>
      <c r="B128" s="30"/>
      <c r="C128" s="30"/>
      <c r="D128" s="161" t="s">
        <v>796</v>
      </c>
      <c r="E128" s="162"/>
      <c r="F128" s="162"/>
      <c r="G128" s="162"/>
      <c r="H128" s="162"/>
      <c r="I128" s="162"/>
      <c r="J128" s="162"/>
      <c r="K128" s="163"/>
      <c r="L128" s="140" t="s">
        <v>472</v>
      </c>
      <c r="M128" s="141"/>
      <c r="N128" s="140" t="s">
        <v>781</v>
      </c>
      <c r="O128" s="142"/>
      <c r="P128" s="142"/>
      <c r="Q128" s="141"/>
      <c r="R128" s="390">
        <v>134</v>
      </c>
      <c r="S128" s="391"/>
      <c r="T128" s="63"/>
    </row>
    <row r="129" spans="1:20" ht="18" customHeight="1">
      <c r="A129" s="39"/>
      <c r="B129" s="30"/>
      <c r="C129" s="30"/>
      <c r="D129" s="181" t="s">
        <v>694</v>
      </c>
      <c r="E129" s="182"/>
      <c r="F129" s="182"/>
      <c r="G129" s="182"/>
      <c r="H129" s="182"/>
      <c r="I129" s="182"/>
      <c r="J129" s="182"/>
      <c r="K129" s="182"/>
      <c r="L129" s="140"/>
      <c r="M129" s="141"/>
      <c r="N129" s="144"/>
      <c r="O129" s="144"/>
      <c r="P129" s="144"/>
      <c r="Q129" s="144"/>
      <c r="R129" s="144"/>
      <c r="S129" s="144"/>
      <c r="T129" s="63"/>
    </row>
    <row r="130" spans="1:24" ht="20.25" customHeight="1">
      <c r="A130" s="39"/>
      <c r="B130" s="30"/>
      <c r="C130" s="30"/>
      <c r="D130" s="143" t="s">
        <v>502</v>
      </c>
      <c r="E130" s="143"/>
      <c r="F130" s="143"/>
      <c r="G130" s="143"/>
      <c r="H130" s="143"/>
      <c r="I130" s="143"/>
      <c r="J130" s="143"/>
      <c r="K130" s="143"/>
      <c r="L130" s="140" t="s">
        <v>556</v>
      </c>
      <c r="M130" s="141"/>
      <c r="N130" s="140" t="s">
        <v>603</v>
      </c>
      <c r="O130" s="142"/>
      <c r="P130" s="142"/>
      <c r="Q130" s="141"/>
      <c r="R130" s="133">
        <v>8943.844</v>
      </c>
      <c r="S130" s="134"/>
      <c r="T130" s="63"/>
      <c r="X130" s="124">
        <f aca="true" t="shared" si="0" ref="X130:X137">R130*R120</f>
        <v>8943.844</v>
      </c>
    </row>
    <row r="131" spans="1:24" ht="40.5" customHeight="1">
      <c r="A131" s="39"/>
      <c r="B131" s="30"/>
      <c r="C131" s="30"/>
      <c r="D131" s="143" t="s">
        <v>767</v>
      </c>
      <c r="E131" s="143"/>
      <c r="F131" s="143"/>
      <c r="G131" s="143"/>
      <c r="H131" s="143"/>
      <c r="I131" s="143"/>
      <c r="J131" s="143"/>
      <c r="K131" s="143"/>
      <c r="L131" s="140" t="s">
        <v>556</v>
      </c>
      <c r="M131" s="141"/>
      <c r="N131" s="140" t="s">
        <v>603</v>
      </c>
      <c r="O131" s="142"/>
      <c r="P131" s="142"/>
      <c r="Q131" s="141"/>
      <c r="R131" s="135">
        <f>(2868.97+137.44)/R110</f>
        <v>334.04555555555555</v>
      </c>
      <c r="S131" s="136"/>
      <c r="T131" s="63"/>
      <c r="X131" s="124">
        <f t="shared" si="0"/>
        <v>3006.41</v>
      </c>
    </row>
    <row r="132" spans="1:24" ht="36.75" customHeight="1">
      <c r="A132" s="39"/>
      <c r="B132" s="30"/>
      <c r="C132" s="30"/>
      <c r="D132" s="143" t="s">
        <v>748</v>
      </c>
      <c r="E132" s="143"/>
      <c r="F132" s="143"/>
      <c r="G132" s="143"/>
      <c r="H132" s="143"/>
      <c r="I132" s="143"/>
      <c r="J132" s="143"/>
      <c r="K132" s="143"/>
      <c r="L132" s="140" t="s">
        <v>556</v>
      </c>
      <c r="M132" s="141"/>
      <c r="N132" s="140" t="s">
        <v>603</v>
      </c>
      <c r="O132" s="142"/>
      <c r="P132" s="142"/>
      <c r="Q132" s="141"/>
      <c r="R132" s="133">
        <f>120/1</f>
        <v>120</v>
      </c>
      <c r="S132" s="134"/>
      <c r="T132" s="63"/>
      <c r="X132" s="124">
        <f t="shared" si="0"/>
        <v>120</v>
      </c>
    </row>
    <row r="133" spans="1:24" ht="19.5" customHeight="1">
      <c r="A133" s="39"/>
      <c r="B133" s="30"/>
      <c r="C133" s="30"/>
      <c r="D133" s="143" t="s">
        <v>497</v>
      </c>
      <c r="E133" s="143"/>
      <c r="F133" s="143"/>
      <c r="G133" s="143"/>
      <c r="H133" s="143"/>
      <c r="I133" s="143"/>
      <c r="J133" s="143"/>
      <c r="K133" s="143"/>
      <c r="L133" s="140" t="s">
        <v>556</v>
      </c>
      <c r="M133" s="141"/>
      <c r="N133" s="140" t="s">
        <v>603</v>
      </c>
      <c r="O133" s="142"/>
      <c r="P133" s="142"/>
      <c r="Q133" s="141"/>
      <c r="R133" s="135">
        <f>(743.59+30)/R123</f>
        <v>193.3975</v>
      </c>
      <c r="S133" s="136"/>
      <c r="T133" s="63"/>
      <c r="X133" s="124">
        <f t="shared" si="0"/>
        <v>773.59</v>
      </c>
    </row>
    <row r="134" spans="1:24" ht="19.5" customHeight="1">
      <c r="A134" s="39"/>
      <c r="B134" s="30"/>
      <c r="C134" s="30"/>
      <c r="D134" s="261" t="s">
        <v>794</v>
      </c>
      <c r="E134" s="262"/>
      <c r="F134" s="262"/>
      <c r="G134" s="262"/>
      <c r="H134" s="262"/>
      <c r="I134" s="262"/>
      <c r="J134" s="262"/>
      <c r="K134" s="263"/>
      <c r="L134" s="140" t="s">
        <v>690</v>
      </c>
      <c r="M134" s="141"/>
      <c r="N134" s="140" t="s">
        <v>603</v>
      </c>
      <c r="O134" s="142"/>
      <c r="P134" s="142"/>
      <c r="Q134" s="141"/>
      <c r="R134" s="135">
        <f>(1986.97+52.72)/R124</f>
        <v>679.8966666666666</v>
      </c>
      <c r="S134" s="136"/>
      <c r="T134" s="63"/>
      <c r="X134" s="124">
        <f t="shared" si="0"/>
        <v>2039.69</v>
      </c>
    </row>
    <row r="135" spans="1:24" ht="19.5" customHeight="1">
      <c r="A135" s="39"/>
      <c r="B135" s="30"/>
      <c r="C135" s="30"/>
      <c r="D135" s="261" t="s">
        <v>500</v>
      </c>
      <c r="E135" s="262"/>
      <c r="F135" s="262"/>
      <c r="G135" s="262"/>
      <c r="H135" s="262"/>
      <c r="I135" s="262"/>
      <c r="J135" s="262"/>
      <c r="K135" s="263"/>
      <c r="L135" s="140" t="s">
        <v>690</v>
      </c>
      <c r="M135" s="141"/>
      <c r="N135" s="140" t="s">
        <v>603</v>
      </c>
      <c r="O135" s="142"/>
      <c r="P135" s="142"/>
      <c r="Q135" s="141"/>
      <c r="R135" s="133">
        <f>(1294.95+8.64-94)/R125</f>
        <v>604.7950000000001</v>
      </c>
      <c r="S135" s="134"/>
      <c r="T135" s="63"/>
      <c r="X135" s="124">
        <f t="shared" si="0"/>
        <v>1209.5900000000001</v>
      </c>
    </row>
    <row r="136" spans="1:24" ht="21.75" customHeight="1">
      <c r="A136" s="39"/>
      <c r="B136" s="30"/>
      <c r="C136" s="30"/>
      <c r="D136" s="261" t="s">
        <v>751</v>
      </c>
      <c r="E136" s="262"/>
      <c r="F136" s="262"/>
      <c r="G136" s="262"/>
      <c r="H136" s="262"/>
      <c r="I136" s="262"/>
      <c r="J136" s="262"/>
      <c r="K136" s="263"/>
      <c r="L136" s="140" t="s">
        <v>690</v>
      </c>
      <c r="M136" s="141"/>
      <c r="N136" s="140" t="s">
        <v>603</v>
      </c>
      <c r="O136" s="142"/>
      <c r="P136" s="142"/>
      <c r="Q136" s="141"/>
      <c r="R136" s="135">
        <f>(621.46+35.26)/R126/1000</f>
        <v>0.5051692307692307</v>
      </c>
      <c r="S136" s="136"/>
      <c r="T136" s="63"/>
      <c r="X136" s="124">
        <f t="shared" si="0"/>
        <v>0.65672</v>
      </c>
    </row>
    <row r="137" spans="1:24" ht="21.75" customHeight="1">
      <c r="A137" s="39"/>
      <c r="B137" s="30"/>
      <c r="C137" s="30"/>
      <c r="D137" s="261" t="s">
        <v>206</v>
      </c>
      <c r="E137" s="262"/>
      <c r="F137" s="262"/>
      <c r="G137" s="262"/>
      <c r="H137" s="262"/>
      <c r="I137" s="262"/>
      <c r="J137" s="262"/>
      <c r="K137" s="263"/>
      <c r="L137" s="140" t="s">
        <v>690</v>
      </c>
      <c r="M137" s="141"/>
      <c r="N137" s="140" t="s">
        <v>603</v>
      </c>
      <c r="O137" s="142"/>
      <c r="P137" s="142"/>
      <c r="Q137" s="141"/>
      <c r="R137" s="135">
        <f>700/R127</f>
        <v>21.21212121212121</v>
      </c>
      <c r="S137" s="136"/>
      <c r="T137" s="63"/>
      <c r="X137" s="124">
        <f t="shared" si="0"/>
        <v>700</v>
      </c>
    </row>
    <row r="138" spans="1:24" ht="21.75" customHeight="1">
      <c r="A138" s="39"/>
      <c r="B138" s="30"/>
      <c r="C138" s="30"/>
      <c r="D138" s="261" t="s">
        <v>798</v>
      </c>
      <c r="E138" s="262"/>
      <c r="F138" s="262"/>
      <c r="G138" s="262"/>
      <c r="H138" s="262"/>
      <c r="I138" s="262"/>
      <c r="J138" s="262"/>
      <c r="K138" s="263"/>
      <c r="L138" s="140" t="s">
        <v>690</v>
      </c>
      <c r="M138" s="141"/>
      <c r="N138" s="140" t="s">
        <v>603</v>
      </c>
      <c r="O138" s="142"/>
      <c r="P138" s="142"/>
      <c r="Q138" s="141"/>
      <c r="R138" s="135">
        <f>94/R117</f>
        <v>0.7014925373134329</v>
      </c>
      <c r="S138" s="136"/>
      <c r="T138" s="63"/>
      <c r="X138" s="124"/>
    </row>
    <row r="139" spans="1:20" ht="17.25" customHeight="1">
      <c r="A139" s="39"/>
      <c r="B139" s="30"/>
      <c r="C139" s="30"/>
      <c r="D139" s="181" t="s">
        <v>697</v>
      </c>
      <c r="E139" s="182"/>
      <c r="F139" s="182"/>
      <c r="G139" s="182"/>
      <c r="H139" s="182"/>
      <c r="I139" s="182"/>
      <c r="J139" s="182"/>
      <c r="K139" s="182"/>
      <c r="L139" s="140"/>
      <c r="M139" s="141"/>
      <c r="N139" s="144"/>
      <c r="O139" s="144"/>
      <c r="P139" s="144"/>
      <c r="Q139" s="144"/>
      <c r="R139" s="144"/>
      <c r="S139" s="144"/>
      <c r="T139" s="63"/>
    </row>
    <row r="140" spans="1:20" ht="34.5" customHeight="1">
      <c r="A140" s="39"/>
      <c r="B140" s="30"/>
      <c r="C140" s="30"/>
      <c r="D140" s="184" t="s">
        <v>768</v>
      </c>
      <c r="E140" s="185"/>
      <c r="F140" s="185"/>
      <c r="G140" s="185"/>
      <c r="H140" s="185"/>
      <c r="I140" s="185"/>
      <c r="J140" s="185"/>
      <c r="K140" s="186"/>
      <c r="L140" s="140" t="s">
        <v>696</v>
      </c>
      <c r="M140" s="141"/>
      <c r="N140" s="140" t="s">
        <v>603</v>
      </c>
      <c r="O140" s="142"/>
      <c r="P140" s="142"/>
      <c r="Q140" s="141"/>
      <c r="R140" s="189">
        <f aca="true" t="shared" si="1" ref="R140:R147">R121/R110*100</f>
        <v>100</v>
      </c>
      <c r="S140" s="189"/>
      <c r="T140" s="63"/>
    </row>
    <row r="141" spans="1:20" ht="51.75" customHeight="1">
      <c r="A141" s="39"/>
      <c r="B141" s="30"/>
      <c r="C141" s="30"/>
      <c r="D141" s="184" t="s">
        <v>505</v>
      </c>
      <c r="E141" s="185"/>
      <c r="F141" s="185"/>
      <c r="G141" s="185"/>
      <c r="H141" s="185"/>
      <c r="I141" s="185"/>
      <c r="J141" s="185"/>
      <c r="K141" s="186"/>
      <c r="L141" s="140" t="s">
        <v>696</v>
      </c>
      <c r="M141" s="141"/>
      <c r="N141" s="140" t="s">
        <v>603</v>
      </c>
      <c r="O141" s="142"/>
      <c r="P141" s="142"/>
      <c r="Q141" s="141"/>
      <c r="R141" s="189">
        <f t="shared" si="1"/>
        <v>100</v>
      </c>
      <c r="S141" s="189"/>
      <c r="T141" s="63"/>
    </row>
    <row r="142" spans="1:20" ht="36.75" customHeight="1">
      <c r="A142" s="39"/>
      <c r="B142" s="30"/>
      <c r="C142" s="30"/>
      <c r="D142" s="184" t="s">
        <v>506</v>
      </c>
      <c r="E142" s="185"/>
      <c r="F142" s="185"/>
      <c r="G142" s="185"/>
      <c r="H142" s="185"/>
      <c r="I142" s="185"/>
      <c r="J142" s="185"/>
      <c r="K142" s="186"/>
      <c r="L142" s="144" t="s">
        <v>696</v>
      </c>
      <c r="M142" s="144"/>
      <c r="N142" s="144" t="s">
        <v>603</v>
      </c>
      <c r="O142" s="144"/>
      <c r="P142" s="144"/>
      <c r="Q142" s="144"/>
      <c r="R142" s="189">
        <f t="shared" si="1"/>
        <v>100</v>
      </c>
      <c r="S142" s="189"/>
      <c r="T142" s="63"/>
    </row>
    <row r="143" spans="1:20" ht="33.75" customHeight="1">
      <c r="A143" s="39"/>
      <c r="B143" s="30"/>
      <c r="C143" s="30"/>
      <c r="D143" s="184" t="s">
        <v>795</v>
      </c>
      <c r="E143" s="185"/>
      <c r="F143" s="185"/>
      <c r="G143" s="185"/>
      <c r="H143" s="185"/>
      <c r="I143" s="185"/>
      <c r="J143" s="185"/>
      <c r="K143" s="186"/>
      <c r="L143" s="140" t="s">
        <v>696</v>
      </c>
      <c r="M143" s="141"/>
      <c r="N143" s="140" t="s">
        <v>603</v>
      </c>
      <c r="O143" s="142"/>
      <c r="P143" s="142"/>
      <c r="Q143" s="141"/>
      <c r="R143" s="189">
        <f t="shared" si="1"/>
        <v>100</v>
      </c>
      <c r="S143" s="189"/>
      <c r="T143" s="63"/>
    </row>
    <row r="144" spans="1:20" ht="36" customHeight="1">
      <c r="A144" s="39"/>
      <c r="B144" s="30"/>
      <c r="C144" s="30"/>
      <c r="D144" s="184" t="s">
        <v>501</v>
      </c>
      <c r="E144" s="185"/>
      <c r="F144" s="185"/>
      <c r="G144" s="185"/>
      <c r="H144" s="185"/>
      <c r="I144" s="185"/>
      <c r="J144" s="185"/>
      <c r="K144" s="186"/>
      <c r="L144" s="140" t="s">
        <v>696</v>
      </c>
      <c r="M144" s="141"/>
      <c r="N144" s="140" t="s">
        <v>603</v>
      </c>
      <c r="O144" s="142"/>
      <c r="P144" s="142"/>
      <c r="Q144" s="141"/>
      <c r="R144" s="189">
        <f t="shared" si="1"/>
        <v>100</v>
      </c>
      <c r="S144" s="189"/>
      <c r="T144" s="63"/>
    </row>
    <row r="145" spans="2:19" ht="34.5" customHeight="1">
      <c r="B145" s="41"/>
      <c r="C145" s="41"/>
      <c r="D145" s="184" t="s">
        <v>752</v>
      </c>
      <c r="E145" s="185"/>
      <c r="F145" s="185"/>
      <c r="G145" s="185"/>
      <c r="H145" s="185"/>
      <c r="I145" s="185"/>
      <c r="J145" s="185"/>
      <c r="K145" s="186"/>
      <c r="L145" s="140" t="s">
        <v>696</v>
      </c>
      <c r="M145" s="141"/>
      <c r="N145" s="140" t="s">
        <v>603</v>
      </c>
      <c r="O145" s="142"/>
      <c r="P145" s="142"/>
      <c r="Q145" s="141"/>
      <c r="R145" s="189">
        <f t="shared" si="1"/>
        <v>100</v>
      </c>
      <c r="S145" s="189"/>
    </row>
    <row r="146" spans="2:19" ht="34.5" customHeight="1">
      <c r="B146" s="41"/>
      <c r="C146" s="41"/>
      <c r="D146" s="394" t="s">
        <v>555</v>
      </c>
      <c r="E146" s="394"/>
      <c r="F146" s="394"/>
      <c r="G146" s="394"/>
      <c r="H146" s="394"/>
      <c r="I146" s="394"/>
      <c r="J146" s="394"/>
      <c r="K146" s="394"/>
      <c r="L146" s="144" t="s">
        <v>696</v>
      </c>
      <c r="M146" s="144"/>
      <c r="N146" s="144" t="s">
        <v>603</v>
      </c>
      <c r="O146" s="144"/>
      <c r="P146" s="144"/>
      <c r="Q146" s="144"/>
      <c r="R146" s="189">
        <f t="shared" si="1"/>
        <v>100</v>
      </c>
      <c r="S146" s="189"/>
    </row>
    <row r="147" spans="2:19" ht="34.5" customHeight="1">
      <c r="B147" s="41"/>
      <c r="C147" s="41"/>
      <c r="D147" s="394" t="s">
        <v>799</v>
      </c>
      <c r="E147" s="394"/>
      <c r="F147" s="394"/>
      <c r="G147" s="394"/>
      <c r="H147" s="394"/>
      <c r="I147" s="394"/>
      <c r="J147" s="394"/>
      <c r="K147" s="394"/>
      <c r="L147" s="144" t="s">
        <v>696</v>
      </c>
      <c r="M147" s="144"/>
      <c r="N147" s="144" t="s">
        <v>603</v>
      </c>
      <c r="O147" s="144"/>
      <c r="P147" s="144"/>
      <c r="Q147" s="144"/>
      <c r="R147" s="189">
        <f t="shared" si="1"/>
        <v>100</v>
      </c>
      <c r="S147" s="189"/>
    </row>
    <row r="148" spans="1:2" ht="18.75">
      <c r="A148" s="26" t="s">
        <v>42</v>
      </c>
      <c r="B148" s="21" t="s">
        <v>112</v>
      </c>
    </row>
    <row r="150" spans="2:20" ht="65.25" customHeight="1">
      <c r="B150" s="174" t="s">
        <v>699</v>
      </c>
      <c r="C150" s="174" t="s">
        <v>700</v>
      </c>
      <c r="D150" s="174"/>
      <c r="E150" s="174"/>
      <c r="F150" s="174"/>
      <c r="G150" s="174"/>
      <c r="H150" s="174" t="s">
        <v>721</v>
      </c>
      <c r="I150" s="144" t="s">
        <v>232</v>
      </c>
      <c r="J150" s="144"/>
      <c r="K150" s="144"/>
      <c r="L150" s="219" t="s">
        <v>734</v>
      </c>
      <c r="M150" s="219"/>
      <c r="N150" s="219"/>
      <c r="O150" s="219" t="s">
        <v>111</v>
      </c>
      <c r="P150" s="219"/>
      <c r="Q150" s="219"/>
      <c r="R150" s="219" t="s">
        <v>701</v>
      </c>
      <c r="S150" s="219"/>
      <c r="T150" s="219"/>
    </row>
    <row r="151" spans="2:20" ht="45.75" customHeight="1">
      <c r="B151" s="174"/>
      <c r="C151" s="174"/>
      <c r="D151" s="174"/>
      <c r="E151" s="174"/>
      <c r="F151" s="174"/>
      <c r="G151" s="174"/>
      <c r="H151" s="174"/>
      <c r="I151" s="49" t="s">
        <v>684</v>
      </c>
      <c r="J151" s="50" t="s">
        <v>685</v>
      </c>
      <c r="K151" s="50" t="s">
        <v>226</v>
      </c>
      <c r="L151" s="49" t="s">
        <v>684</v>
      </c>
      <c r="M151" s="50" t="s">
        <v>685</v>
      </c>
      <c r="N151" s="50" t="s">
        <v>226</v>
      </c>
      <c r="O151" s="49" t="s">
        <v>684</v>
      </c>
      <c r="P151" s="50" t="s">
        <v>685</v>
      </c>
      <c r="Q151" s="50" t="s">
        <v>226</v>
      </c>
      <c r="R151" s="219"/>
      <c r="S151" s="219"/>
      <c r="T151" s="219"/>
    </row>
    <row r="152" spans="2:20" ht="19.5" customHeight="1">
      <c r="B152" s="43">
        <v>1</v>
      </c>
      <c r="C152" s="220">
        <v>2</v>
      </c>
      <c r="D152" s="220"/>
      <c r="E152" s="220"/>
      <c r="F152" s="220"/>
      <c r="G152" s="220"/>
      <c r="H152" s="43">
        <v>3</v>
      </c>
      <c r="I152" s="38">
        <v>4</v>
      </c>
      <c r="J152" s="54">
        <v>5</v>
      </c>
      <c r="K152" s="54">
        <v>6</v>
      </c>
      <c r="L152" s="38">
        <v>7</v>
      </c>
      <c r="M152" s="54">
        <v>8</v>
      </c>
      <c r="N152" s="54">
        <v>9</v>
      </c>
      <c r="O152" s="38">
        <v>10</v>
      </c>
      <c r="P152" s="54">
        <v>11</v>
      </c>
      <c r="Q152" s="54">
        <v>12</v>
      </c>
      <c r="R152" s="218">
        <v>13</v>
      </c>
      <c r="S152" s="218"/>
      <c r="T152" s="218"/>
    </row>
    <row r="153" spans="2:20" ht="19.5" customHeight="1">
      <c r="B153" s="47"/>
      <c r="C153" s="217" t="s">
        <v>673</v>
      </c>
      <c r="D153" s="217"/>
      <c r="E153" s="217"/>
      <c r="F153" s="217"/>
      <c r="G153" s="217"/>
      <c r="H153" s="60"/>
      <c r="I153" s="48"/>
      <c r="J153" s="48"/>
      <c r="K153" s="47"/>
      <c r="L153" s="47"/>
      <c r="M153" s="47"/>
      <c r="N153" s="47"/>
      <c r="O153" s="47"/>
      <c r="P153" s="47"/>
      <c r="Q153" s="47"/>
      <c r="R153" s="216"/>
      <c r="S153" s="216"/>
      <c r="T153" s="216"/>
    </row>
    <row r="154" spans="2:20" ht="19.5" customHeight="1">
      <c r="B154" s="47"/>
      <c r="C154" s="217" t="s">
        <v>674</v>
      </c>
      <c r="D154" s="217"/>
      <c r="E154" s="217"/>
      <c r="F154" s="217"/>
      <c r="G154" s="217"/>
      <c r="H154" s="60"/>
      <c r="I154" s="47"/>
      <c r="J154" s="47"/>
      <c r="K154" s="47"/>
      <c r="L154" s="47"/>
      <c r="M154" s="47"/>
      <c r="N154" s="47"/>
      <c r="O154" s="47"/>
      <c r="P154" s="47"/>
      <c r="Q154" s="47"/>
      <c r="R154" s="216"/>
      <c r="S154" s="216"/>
      <c r="T154" s="216"/>
    </row>
    <row r="155" spans="2:20" ht="16.5" customHeight="1">
      <c r="B155" s="47"/>
      <c r="C155" s="217" t="s">
        <v>675</v>
      </c>
      <c r="D155" s="217"/>
      <c r="E155" s="217"/>
      <c r="F155" s="217"/>
      <c r="G155" s="217"/>
      <c r="H155" s="60"/>
      <c r="I155" s="47"/>
      <c r="J155" s="47"/>
      <c r="K155" s="47"/>
      <c r="L155" s="47"/>
      <c r="M155" s="47"/>
      <c r="N155" s="47"/>
      <c r="O155" s="47"/>
      <c r="P155" s="47"/>
      <c r="Q155" s="47"/>
      <c r="R155" s="216"/>
      <c r="S155" s="216"/>
      <c r="T155" s="216"/>
    </row>
    <row r="156" spans="2:20" ht="18" customHeight="1">
      <c r="B156" s="47"/>
      <c r="C156" s="217" t="s">
        <v>702</v>
      </c>
      <c r="D156" s="217"/>
      <c r="E156" s="217"/>
      <c r="F156" s="217"/>
      <c r="G156" s="217"/>
      <c r="H156" s="60"/>
      <c r="I156" s="33" t="s">
        <v>735</v>
      </c>
      <c r="J156" s="33"/>
      <c r="K156" s="33"/>
      <c r="L156" s="33" t="s">
        <v>735</v>
      </c>
      <c r="M156" s="33"/>
      <c r="N156" s="33"/>
      <c r="O156" s="33" t="s">
        <v>735</v>
      </c>
      <c r="P156" s="47"/>
      <c r="Q156" s="47"/>
      <c r="R156" s="216"/>
      <c r="S156" s="216"/>
      <c r="T156" s="216"/>
    </row>
    <row r="157" spans="2:20" ht="15" customHeight="1">
      <c r="B157" s="47"/>
      <c r="C157" s="217" t="s">
        <v>676</v>
      </c>
      <c r="D157" s="217"/>
      <c r="E157" s="217"/>
      <c r="F157" s="217"/>
      <c r="G157" s="217"/>
      <c r="H157" s="60"/>
      <c r="I157" s="47"/>
      <c r="J157" s="47"/>
      <c r="K157" s="47"/>
      <c r="L157" s="47"/>
      <c r="M157" s="47"/>
      <c r="N157" s="47"/>
      <c r="O157" s="47"/>
      <c r="P157" s="47"/>
      <c r="Q157" s="47"/>
      <c r="R157" s="216"/>
      <c r="S157" s="216"/>
      <c r="T157" s="216"/>
    </row>
    <row r="158" spans="2:20" ht="16.5" customHeight="1">
      <c r="B158" s="47"/>
      <c r="C158" s="217" t="s">
        <v>677</v>
      </c>
      <c r="D158" s="217"/>
      <c r="E158" s="217"/>
      <c r="F158" s="217"/>
      <c r="G158" s="217"/>
      <c r="H158" s="60"/>
      <c r="I158" s="47"/>
      <c r="J158" s="47"/>
      <c r="K158" s="47"/>
      <c r="L158" s="47"/>
      <c r="M158" s="47"/>
      <c r="N158" s="47"/>
      <c r="O158" s="47"/>
      <c r="P158" s="47"/>
      <c r="Q158" s="47"/>
      <c r="R158" s="216"/>
      <c r="S158" s="216"/>
      <c r="T158" s="216"/>
    </row>
    <row r="159" spans="2:20" ht="15.75">
      <c r="B159" s="47"/>
      <c r="C159" s="217" t="s">
        <v>676</v>
      </c>
      <c r="D159" s="217"/>
      <c r="E159" s="217"/>
      <c r="F159" s="217"/>
      <c r="G159" s="217"/>
      <c r="H159" s="60"/>
      <c r="I159" s="47"/>
      <c r="J159" s="47"/>
      <c r="K159" s="47"/>
      <c r="L159" s="47"/>
      <c r="M159" s="47"/>
      <c r="N159" s="47"/>
      <c r="O159" s="47"/>
      <c r="P159" s="47"/>
      <c r="Q159" s="47"/>
      <c r="R159" s="216"/>
      <c r="S159" s="216"/>
      <c r="T159" s="216"/>
    </row>
    <row r="160" spans="2:20" ht="15.75">
      <c r="B160" s="47"/>
      <c r="C160" s="217" t="s">
        <v>678</v>
      </c>
      <c r="D160" s="217"/>
      <c r="E160" s="217"/>
      <c r="F160" s="217"/>
      <c r="G160" s="217"/>
      <c r="H160" s="60"/>
      <c r="I160" s="47"/>
      <c r="J160" s="47"/>
      <c r="K160" s="47"/>
      <c r="L160" s="47"/>
      <c r="M160" s="47"/>
      <c r="N160" s="47"/>
      <c r="O160" s="47"/>
      <c r="P160" s="47"/>
      <c r="Q160" s="47"/>
      <c r="R160" s="216"/>
      <c r="S160" s="216"/>
      <c r="T160" s="216"/>
    </row>
    <row r="163" ht="18">
      <c r="A163" s="51" t="s">
        <v>227</v>
      </c>
    </row>
    <row r="164" ht="18">
      <c r="A164" s="51" t="s">
        <v>228</v>
      </c>
    </row>
    <row r="165" ht="18">
      <c r="A165" s="51" t="s">
        <v>229</v>
      </c>
    </row>
    <row r="168" spans="1:14" ht="18.75">
      <c r="A168" s="21" t="str">
        <f>'6020'!A207</f>
        <v>Начальник управління житлово-комунального господарства</v>
      </c>
      <c r="B168" s="53"/>
      <c r="C168" s="53"/>
      <c r="D168" s="53"/>
      <c r="E168" s="53"/>
      <c r="F168" s="53"/>
      <c r="G168" s="64"/>
      <c r="H168" s="64"/>
      <c r="I168" s="36"/>
      <c r="J168" s="36"/>
      <c r="K168" s="36"/>
      <c r="L168" s="36"/>
      <c r="M168" s="36"/>
      <c r="N168" s="36"/>
    </row>
    <row r="169" spans="1:15" ht="15.75">
      <c r="A169" s="45" t="s">
        <v>644</v>
      </c>
      <c r="B169" s="45"/>
      <c r="C169" s="45"/>
      <c r="D169" s="45"/>
      <c r="I169" s="226"/>
      <c r="J169" s="226"/>
      <c r="L169" s="225" t="s">
        <v>762</v>
      </c>
      <c r="M169" s="225"/>
      <c r="N169" s="225"/>
      <c r="O169" s="225"/>
    </row>
    <row r="170" spans="1:15" ht="11.25" customHeight="1">
      <c r="A170" s="45"/>
      <c r="B170" s="45"/>
      <c r="C170" s="45"/>
      <c r="D170" s="45"/>
      <c r="I170" s="224" t="s">
        <v>703</v>
      </c>
      <c r="J170" s="224"/>
      <c r="L170" s="224" t="s">
        <v>230</v>
      </c>
      <c r="M170" s="224"/>
      <c r="N170" s="224"/>
      <c r="O170" s="224"/>
    </row>
    <row r="172" spans="1:8" ht="15.75">
      <c r="A172" s="21" t="s">
        <v>689</v>
      </c>
      <c r="G172" s="36"/>
      <c r="H172" s="36"/>
    </row>
    <row r="173" spans="1:15" ht="15.75">
      <c r="A173" s="21" t="s">
        <v>233</v>
      </c>
      <c r="I173" s="226"/>
      <c r="J173" s="226"/>
      <c r="K173" s="36"/>
      <c r="L173" s="225" t="s">
        <v>643</v>
      </c>
      <c r="M173" s="225"/>
      <c r="N173" s="225"/>
      <c r="O173" s="225"/>
    </row>
    <row r="174" spans="9:15" ht="11.25">
      <c r="I174" s="224" t="s">
        <v>703</v>
      </c>
      <c r="J174" s="224"/>
      <c r="L174" s="224" t="s">
        <v>230</v>
      </c>
      <c r="M174" s="224"/>
      <c r="N174" s="224"/>
      <c r="O174" s="224"/>
    </row>
  </sheetData>
  <sheetProtection/>
  <mergeCells count="406">
    <mergeCell ref="R87:S87"/>
    <mergeCell ref="L87:M87"/>
    <mergeCell ref="N87:Q87"/>
    <mergeCell ref="L91:M91"/>
    <mergeCell ref="R90:S90"/>
    <mergeCell ref="N89:Q89"/>
    <mergeCell ref="N88:Q88"/>
    <mergeCell ref="R88:S88"/>
    <mergeCell ref="D106:K106"/>
    <mergeCell ref="R97:S97"/>
    <mergeCell ref="D88:K88"/>
    <mergeCell ref="D89:K89"/>
    <mergeCell ref="D95:K95"/>
    <mergeCell ref="L88:M88"/>
    <mergeCell ref="L93:M93"/>
    <mergeCell ref="N93:Q93"/>
    <mergeCell ref="N94:Q94"/>
    <mergeCell ref="D92:K92"/>
    <mergeCell ref="R114:S114"/>
    <mergeCell ref="R107:S107"/>
    <mergeCell ref="R103:S103"/>
    <mergeCell ref="L106:M106"/>
    <mergeCell ref="N106:Q106"/>
    <mergeCell ref="N95:Q95"/>
    <mergeCell ref="R95:S95"/>
    <mergeCell ref="N111:Q111"/>
    <mergeCell ref="R113:S113"/>
    <mergeCell ref="L146:M146"/>
    <mergeCell ref="N124:Q124"/>
    <mergeCell ref="N120:Q120"/>
    <mergeCell ref="N135:Q135"/>
    <mergeCell ref="L141:M141"/>
    <mergeCell ref="L144:M144"/>
    <mergeCell ref="L126:M126"/>
    <mergeCell ref="L137:M137"/>
    <mergeCell ref="L135:M135"/>
    <mergeCell ref="L142:M142"/>
    <mergeCell ref="R131:S131"/>
    <mergeCell ref="N132:Q132"/>
    <mergeCell ref="N127:Q127"/>
    <mergeCell ref="R86:S86"/>
    <mergeCell ref="N108:Q108"/>
    <mergeCell ref="D105:S105"/>
    <mergeCell ref="N131:Q131"/>
    <mergeCell ref="D132:K132"/>
    <mergeCell ref="D97:K97"/>
    <mergeCell ref="R94:S94"/>
    <mergeCell ref="R157:T157"/>
    <mergeCell ref="C153:G153"/>
    <mergeCell ref="D137:K137"/>
    <mergeCell ref="R137:S137"/>
    <mergeCell ref="L145:M145"/>
    <mergeCell ref="N145:Q145"/>
    <mergeCell ref="N142:Q142"/>
    <mergeCell ref="N140:Q140"/>
    <mergeCell ref="L140:M140"/>
    <mergeCell ref="R146:S146"/>
    <mergeCell ref="L173:O173"/>
    <mergeCell ref="I173:J173"/>
    <mergeCell ref="L170:O170"/>
    <mergeCell ref="R152:T152"/>
    <mergeCell ref="R155:T155"/>
    <mergeCell ref="R135:S135"/>
    <mergeCell ref="N137:Q137"/>
    <mergeCell ref="N136:Q136"/>
    <mergeCell ref="R136:S136"/>
    <mergeCell ref="R140:S140"/>
    <mergeCell ref="B150:B151"/>
    <mergeCell ref="C150:G151"/>
    <mergeCell ref="H150:H151"/>
    <mergeCell ref="I150:K150"/>
    <mergeCell ref="I174:J174"/>
    <mergeCell ref="L174:O174"/>
    <mergeCell ref="I169:J169"/>
    <mergeCell ref="L169:O169"/>
    <mergeCell ref="I170:J170"/>
    <mergeCell ref="C158:G158"/>
    <mergeCell ref="R145:S145"/>
    <mergeCell ref="D140:K140"/>
    <mergeCell ref="R150:T151"/>
    <mergeCell ref="O150:Q150"/>
    <mergeCell ref="L150:N150"/>
    <mergeCell ref="N146:Q146"/>
    <mergeCell ref="D143:K143"/>
    <mergeCell ref="L143:M143"/>
    <mergeCell ref="R141:S141"/>
    <mergeCell ref="R144:S144"/>
    <mergeCell ref="C160:G160"/>
    <mergeCell ref="R160:T160"/>
    <mergeCell ref="R153:T153"/>
    <mergeCell ref="C154:G154"/>
    <mergeCell ref="R154:T154"/>
    <mergeCell ref="C155:G155"/>
    <mergeCell ref="R159:T159"/>
    <mergeCell ref="R158:T158"/>
    <mergeCell ref="C157:G157"/>
    <mergeCell ref="R156:T156"/>
    <mergeCell ref="C159:G159"/>
    <mergeCell ref="D145:K145"/>
    <mergeCell ref="D146:K146"/>
    <mergeCell ref="C156:G156"/>
    <mergeCell ref="C152:G152"/>
    <mergeCell ref="L115:M115"/>
    <mergeCell ref="D144:K144"/>
    <mergeCell ref="D133:K133"/>
    <mergeCell ref="D139:K139"/>
    <mergeCell ref="D123:K123"/>
    <mergeCell ref="N139:Q139"/>
    <mergeCell ref="L116:M116"/>
    <mergeCell ref="N116:Q116"/>
    <mergeCell ref="L98:M98"/>
    <mergeCell ref="N126:Q126"/>
    <mergeCell ref="N113:Q113"/>
    <mergeCell ref="L99:M99"/>
    <mergeCell ref="N100:Q100"/>
    <mergeCell ref="N133:Q133"/>
    <mergeCell ref="N134:Q134"/>
    <mergeCell ref="N85:Q85"/>
    <mergeCell ref="L86:M86"/>
    <mergeCell ref="D94:K94"/>
    <mergeCell ref="D87:K87"/>
    <mergeCell ref="L92:M92"/>
    <mergeCell ref="L94:M94"/>
    <mergeCell ref="N91:Q91"/>
    <mergeCell ref="D91:K91"/>
    <mergeCell ref="L89:M89"/>
    <mergeCell ref="D90:K90"/>
    <mergeCell ref="D76:K76"/>
    <mergeCell ref="D78:K78"/>
    <mergeCell ref="L107:M107"/>
    <mergeCell ref="D98:K98"/>
    <mergeCell ref="D96:K96"/>
    <mergeCell ref="L85:M85"/>
    <mergeCell ref="D85:K85"/>
    <mergeCell ref="D99:K99"/>
    <mergeCell ref="L95:M95"/>
    <mergeCell ref="D104:S104"/>
    <mergeCell ref="R74:S74"/>
    <mergeCell ref="D75:K75"/>
    <mergeCell ref="N75:Q75"/>
    <mergeCell ref="L77:M77"/>
    <mergeCell ref="N74:Q74"/>
    <mergeCell ref="D115:K115"/>
    <mergeCell ref="R75:S75"/>
    <mergeCell ref="L75:M75"/>
    <mergeCell ref="N82:Q82"/>
    <mergeCell ref="R82:S82"/>
    <mergeCell ref="R78:S78"/>
    <mergeCell ref="N81:Q81"/>
    <mergeCell ref="N79:Q79"/>
    <mergeCell ref="R81:S81"/>
    <mergeCell ref="L81:M81"/>
    <mergeCell ref="R79:S79"/>
    <mergeCell ref="N73:Q73"/>
    <mergeCell ref="D82:K82"/>
    <mergeCell ref="D74:K74"/>
    <mergeCell ref="L74:M74"/>
    <mergeCell ref="D79:K79"/>
    <mergeCell ref="N90:Q90"/>
    <mergeCell ref="N78:Q78"/>
    <mergeCell ref="D73:K73"/>
    <mergeCell ref="L78:M78"/>
    <mergeCell ref="D77:K77"/>
    <mergeCell ref="L73:M73"/>
    <mergeCell ref="N77:Q77"/>
    <mergeCell ref="N69:Q69"/>
    <mergeCell ref="D70:S70"/>
    <mergeCell ref="N102:Q102"/>
    <mergeCell ref="L103:M103"/>
    <mergeCell ref="R76:S76"/>
    <mergeCell ref="R77:S77"/>
    <mergeCell ref="L82:M82"/>
    <mergeCell ref="N76:Q76"/>
    <mergeCell ref="L76:M76"/>
    <mergeCell ref="R93:S93"/>
    <mergeCell ref="R69:S69"/>
    <mergeCell ref="R73:S73"/>
    <mergeCell ref="D68:K68"/>
    <mergeCell ref="L68:M68"/>
    <mergeCell ref="N68:Q68"/>
    <mergeCell ref="R68:S68"/>
    <mergeCell ref="R72:S72"/>
    <mergeCell ref="D71:S71"/>
    <mergeCell ref="N72:Q72"/>
    <mergeCell ref="D69:K69"/>
    <mergeCell ref="L69:M69"/>
    <mergeCell ref="D72:K72"/>
    <mergeCell ref="L72:M72"/>
    <mergeCell ref="D102:K102"/>
    <mergeCell ref="L102:M102"/>
    <mergeCell ref="D93:K93"/>
    <mergeCell ref="L96:M96"/>
    <mergeCell ref="L79:M79"/>
    <mergeCell ref="D81:K81"/>
    <mergeCell ref="D83:S83"/>
    <mergeCell ref="N92:Q92"/>
    <mergeCell ref="R92:S92"/>
    <mergeCell ref="D86:K86"/>
    <mergeCell ref="R89:S89"/>
    <mergeCell ref="N86:Q86"/>
    <mergeCell ref="R85:S85"/>
    <mergeCell ref="D84:S84"/>
    <mergeCell ref="R91:S91"/>
    <mergeCell ref="B64:H64"/>
    <mergeCell ref="I64:J64"/>
    <mergeCell ref="K64:L64"/>
    <mergeCell ref="M64:N64"/>
    <mergeCell ref="O64:P64"/>
    <mergeCell ref="B63:H63"/>
    <mergeCell ref="I63:J63"/>
    <mergeCell ref="B62:H62"/>
    <mergeCell ref="I62:J62"/>
    <mergeCell ref="K62:L62"/>
    <mergeCell ref="M62:N62"/>
    <mergeCell ref="O62:P62"/>
    <mergeCell ref="B61:H61"/>
    <mergeCell ref="I61:J61"/>
    <mergeCell ref="O58:P58"/>
    <mergeCell ref="O59:P59"/>
    <mergeCell ref="O60:P60"/>
    <mergeCell ref="M60:N60"/>
    <mergeCell ref="K63:L63"/>
    <mergeCell ref="M63:N63"/>
    <mergeCell ref="O61:P61"/>
    <mergeCell ref="O63:P63"/>
    <mergeCell ref="I58:J58"/>
    <mergeCell ref="K58:L58"/>
    <mergeCell ref="M58:N58"/>
    <mergeCell ref="M59:N59"/>
    <mergeCell ref="K61:L61"/>
    <mergeCell ref="M61:N61"/>
    <mergeCell ref="B59:H59"/>
    <mergeCell ref="I59:J59"/>
    <mergeCell ref="K59:L59"/>
    <mergeCell ref="B60:H60"/>
    <mergeCell ref="I60:J60"/>
    <mergeCell ref="K60:L60"/>
    <mergeCell ref="S51:T51"/>
    <mergeCell ref="E51:N51"/>
    <mergeCell ref="Q53:R53"/>
    <mergeCell ref="S53:T53"/>
    <mergeCell ref="E52:N52"/>
    <mergeCell ref="O52:P52"/>
    <mergeCell ref="Q52:R52"/>
    <mergeCell ref="S52:T52"/>
    <mergeCell ref="E53:N53"/>
    <mergeCell ref="O53:P53"/>
    <mergeCell ref="B22:C22"/>
    <mergeCell ref="E44:T44"/>
    <mergeCell ref="B27:C27"/>
    <mergeCell ref="G27:Q27"/>
    <mergeCell ref="E25:M25"/>
    <mergeCell ref="B28:C28"/>
    <mergeCell ref="B31:E31"/>
    <mergeCell ref="E22:N22"/>
    <mergeCell ref="F32:G32"/>
    <mergeCell ref="E43:T43"/>
    <mergeCell ref="F33:G33"/>
    <mergeCell ref="B35:P35"/>
    <mergeCell ref="B36:AA36"/>
    <mergeCell ref="B37:AA37"/>
    <mergeCell ref="S50:T50"/>
    <mergeCell ref="O50:P50"/>
    <mergeCell ref="Q50:R50"/>
    <mergeCell ref="O54:P54"/>
    <mergeCell ref="Q54:R54"/>
    <mergeCell ref="E49:N49"/>
    <mergeCell ref="O49:P49"/>
    <mergeCell ref="Q49:R49"/>
    <mergeCell ref="O51:P51"/>
    <mergeCell ref="Q51:R51"/>
    <mergeCell ref="K8:Q8"/>
    <mergeCell ref="A16:R16"/>
    <mergeCell ref="A17:R17"/>
    <mergeCell ref="A18:R18"/>
    <mergeCell ref="S54:T54"/>
    <mergeCell ref="B24:C24"/>
    <mergeCell ref="B25:C25"/>
    <mergeCell ref="S49:T49"/>
    <mergeCell ref="E50:N50"/>
    <mergeCell ref="E54:N54"/>
    <mergeCell ref="B21:C21"/>
    <mergeCell ref="R108:S108"/>
    <mergeCell ref="D109:K109"/>
    <mergeCell ref="L109:M109"/>
    <mergeCell ref="N109:Q109"/>
    <mergeCell ref="R109:S109"/>
    <mergeCell ref="D108:K108"/>
    <mergeCell ref="R98:S98"/>
    <mergeCell ref="N98:Q98"/>
    <mergeCell ref="F31:G31"/>
    <mergeCell ref="R126:S126"/>
    <mergeCell ref="R129:S129"/>
    <mergeCell ref="N110:Q110"/>
    <mergeCell ref="R110:S110"/>
    <mergeCell ref="R119:S119"/>
    <mergeCell ref="N114:Q114"/>
    <mergeCell ref="R111:S111"/>
    <mergeCell ref="N112:Q112"/>
    <mergeCell ref="R112:S112"/>
    <mergeCell ref="R115:S115"/>
    <mergeCell ref="R123:S123"/>
    <mergeCell ref="L124:M124"/>
    <mergeCell ref="L119:M119"/>
    <mergeCell ref="N122:Q122"/>
    <mergeCell ref="L108:M108"/>
    <mergeCell ref="L136:M136"/>
    <mergeCell ref="R124:S124"/>
    <mergeCell ref="L132:M132"/>
    <mergeCell ref="L120:M120"/>
    <mergeCell ref="N121:Q121"/>
    <mergeCell ref="R142:S142"/>
    <mergeCell ref="N141:Q141"/>
    <mergeCell ref="D119:K119"/>
    <mergeCell ref="R121:S121"/>
    <mergeCell ref="R120:S120"/>
    <mergeCell ref="R122:S122"/>
    <mergeCell ref="L129:M129"/>
    <mergeCell ref="N129:Q129"/>
    <mergeCell ref="L127:M127"/>
    <mergeCell ref="L123:M123"/>
    <mergeCell ref="R143:S143"/>
    <mergeCell ref="N143:Q143"/>
    <mergeCell ref="N144:Q144"/>
    <mergeCell ref="D142:K142"/>
    <mergeCell ref="D113:K113"/>
    <mergeCell ref="R139:S139"/>
    <mergeCell ref="D130:K130"/>
    <mergeCell ref="R133:S133"/>
    <mergeCell ref="R130:S130"/>
    <mergeCell ref="R127:S127"/>
    <mergeCell ref="D141:K141"/>
    <mergeCell ref="D134:K134"/>
    <mergeCell ref="L134:M134"/>
    <mergeCell ref="D135:K135"/>
    <mergeCell ref="D136:K136"/>
    <mergeCell ref="D138:K138"/>
    <mergeCell ref="L138:M138"/>
    <mergeCell ref="N138:Q138"/>
    <mergeCell ref="L139:M139"/>
    <mergeCell ref="R134:S134"/>
    <mergeCell ref="R132:S132"/>
    <mergeCell ref="L113:M113"/>
    <mergeCell ref="R125:S125"/>
    <mergeCell ref="L125:M125"/>
    <mergeCell ref="N125:Q125"/>
    <mergeCell ref="L133:M133"/>
    <mergeCell ref="N130:Q130"/>
    <mergeCell ref="N123:Q123"/>
    <mergeCell ref="L130:M130"/>
    <mergeCell ref="D122:K122"/>
    <mergeCell ref="D125:K125"/>
    <mergeCell ref="D131:K131"/>
    <mergeCell ref="L131:M131"/>
    <mergeCell ref="L122:M122"/>
    <mergeCell ref="D126:K126"/>
    <mergeCell ref="D124:K124"/>
    <mergeCell ref="D120:K120"/>
    <mergeCell ref="D127:K127"/>
    <mergeCell ref="L121:M121"/>
    <mergeCell ref="D111:K111"/>
    <mergeCell ref="L111:M111"/>
    <mergeCell ref="L110:M110"/>
    <mergeCell ref="D114:K114"/>
    <mergeCell ref="D121:K121"/>
    <mergeCell ref="L114:M114"/>
    <mergeCell ref="L118:M118"/>
    <mergeCell ref="R118:S118"/>
    <mergeCell ref="L100:M100"/>
    <mergeCell ref="R96:S96"/>
    <mergeCell ref="R99:S99"/>
    <mergeCell ref="N99:Q99"/>
    <mergeCell ref="N97:Q97"/>
    <mergeCell ref="N96:Q96"/>
    <mergeCell ref="L97:M97"/>
    <mergeCell ref="R106:S106"/>
    <mergeCell ref="R116:S116"/>
    <mergeCell ref="N118:Q118"/>
    <mergeCell ref="D112:K112"/>
    <mergeCell ref="N119:Q119"/>
    <mergeCell ref="D117:K117"/>
    <mergeCell ref="L117:M117"/>
    <mergeCell ref="N117:Q117"/>
    <mergeCell ref="D116:K116"/>
    <mergeCell ref="N115:Q115"/>
    <mergeCell ref="D118:K118"/>
    <mergeCell ref="R117:S117"/>
    <mergeCell ref="R100:S100"/>
    <mergeCell ref="R102:S102"/>
    <mergeCell ref="N103:Q103"/>
    <mergeCell ref="D103:K103"/>
    <mergeCell ref="N107:Q107"/>
    <mergeCell ref="D107:K107"/>
    <mergeCell ref="D100:K100"/>
    <mergeCell ref="L112:M112"/>
    <mergeCell ref="D110:K110"/>
    <mergeCell ref="R138:S138"/>
    <mergeCell ref="D147:K147"/>
    <mergeCell ref="L147:M147"/>
    <mergeCell ref="N147:Q147"/>
    <mergeCell ref="R147:S147"/>
    <mergeCell ref="L128:M128"/>
    <mergeCell ref="N128:Q128"/>
    <mergeCell ref="R128:S128"/>
    <mergeCell ref="D129:K129"/>
    <mergeCell ref="D128:K128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2" r:id="rId3"/>
  <rowBreaks count="4" manualBreakCount="4">
    <brk id="44" max="255" man="1"/>
    <brk id="85" max="255" man="1"/>
    <brk id="117" max="255" man="1"/>
    <brk id="14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Алена</dc:creator>
  <cp:keywords/>
  <dc:description/>
  <cp:lastModifiedBy>Черний Олександр Володимирович</cp:lastModifiedBy>
  <cp:lastPrinted>2018-02-14T16:16:43Z</cp:lastPrinted>
  <dcterms:created xsi:type="dcterms:W3CDTF">2013-03-19T08:17:06Z</dcterms:created>
  <dcterms:modified xsi:type="dcterms:W3CDTF">2018-02-15T08:50:10Z</dcterms:modified>
  <cp:category/>
  <cp:version/>
  <cp:contentType/>
  <cp:contentStatus/>
</cp:coreProperties>
</file>